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1.xml" ContentType="application/vnd.openxmlformats-officedocument.spreadsheetml.chart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FACTOR\Eduardo\3 Escenarios BAU-NDC-100RE\"/>
    </mc:Choice>
  </mc:AlternateContent>
  <bookViews>
    <workbookView xWindow="0" yWindow="0" windowWidth="20496" windowHeight="7152" firstSheet="3" activeTab="3"/>
  </bookViews>
  <sheets>
    <sheet name="Termo CS" sheetId="3" r:id="rId1"/>
    <sheet name="Termo CC" sheetId="1" r:id="rId2"/>
    <sheet name="Hidro" sheetId="5" r:id="rId3"/>
    <sheet name="Eolica" sheetId="6" r:id="rId4"/>
    <sheet name="Solar" sheetId="7" r:id="rId5"/>
    <sheet name="Geotermico" sheetId="11" r:id="rId6"/>
    <sheet name="Biomasa" sheetId="12" r:id="rId7"/>
    <sheet name="Gráfico1" sheetId="9" r:id="rId8"/>
    <sheet name="Resumen" sheetId="8" r:id="rId9"/>
    <sheet name="Conversion a CC" sheetId="4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6" i="8" l="1"/>
  <c r="L15" i="8"/>
  <c r="L14" i="8"/>
  <c r="L9" i="8"/>
  <c r="L8" i="8"/>
  <c r="L5" i="8"/>
  <c r="C6" i="12"/>
  <c r="C20" i="12" s="1"/>
  <c r="C22" i="12" s="1"/>
  <c r="C23" i="12"/>
  <c r="C13" i="12"/>
  <c r="C25" i="12" l="1"/>
  <c r="K15" i="8"/>
  <c r="K8" i="8"/>
  <c r="K5" i="8"/>
  <c r="C4" i="11"/>
  <c r="C6" i="11" s="1"/>
  <c r="C20" i="11" s="1"/>
  <c r="J5" i="8"/>
  <c r="I5" i="8"/>
  <c r="H5" i="8"/>
  <c r="G5" i="8"/>
  <c r="F5" i="8"/>
  <c r="C13" i="11" l="1"/>
  <c r="D7" i="3"/>
  <c r="C22" i="11" l="1"/>
  <c r="K9" i="8"/>
  <c r="C24" i="11"/>
  <c r="K14" i="8"/>
  <c r="K16" i="8" s="1"/>
  <c r="E12" i="8"/>
  <c r="R11" i="8"/>
  <c r="S11" i="8" s="1"/>
  <c r="R12" i="8"/>
  <c r="R13" i="8" s="1"/>
  <c r="R10" i="8"/>
  <c r="S10" i="8" s="1"/>
  <c r="S8" i="8"/>
  <c r="S9" i="8"/>
  <c r="I15" i="8"/>
  <c r="J15" i="8"/>
  <c r="H15" i="8"/>
  <c r="Q9" i="8"/>
  <c r="Q10" i="8" s="1"/>
  <c r="Q11" i="8" s="1"/>
  <c r="Q12" i="8" s="1"/>
  <c r="Q13" i="8" s="1"/>
  <c r="Q14" i="8" s="1"/>
  <c r="Q15" i="8" s="1"/>
  <c r="Q16" i="8" s="1"/>
  <c r="Q17" i="8" s="1"/>
  <c r="Q18" i="8" s="1"/>
  <c r="J8" i="8"/>
  <c r="I8" i="8"/>
  <c r="H8" i="8"/>
  <c r="G8" i="8"/>
  <c r="F8" i="8"/>
  <c r="D29" i="3" l="1"/>
  <c r="R14" i="8"/>
  <c r="S13" i="8"/>
  <c r="S12" i="8"/>
  <c r="D31" i="1" l="1"/>
  <c r="R15" i="8"/>
  <c r="S14" i="8"/>
  <c r="S15" i="8" l="1"/>
  <c r="R16" i="8"/>
  <c r="D33" i="4"/>
  <c r="D9" i="4"/>
  <c r="D31" i="4"/>
  <c r="D30" i="4"/>
  <c r="D14" i="4"/>
  <c r="D29" i="1"/>
  <c r="D7" i="1"/>
  <c r="D8" i="1" s="1"/>
  <c r="D15" i="1" s="1"/>
  <c r="D6" i="3"/>
  <c r="D16" i="3" s="1"/>
  <c r="D17" i="3" s="1"/>
  <c r="D28" i="3"/>
  <c r="D30" i="1"/>
  <c r="D32" i="1" s="1"/>
  <c r="D34" i="1" s="1"/>
  <c r="D43" i="1" s="1"/>
  <c r="G15" i="8" s="1"/>
  <c r="S16" i="8" l="1"/>
  <c r="R17" i="8"/>
  <c r="D11" i="3"/>
  <c r="D6" i="1"/>
  <c r="D18" i="1" s="1"/>
  <c r="D32" i="4"/>
  <c r="D34" i="4" s="1"/>
  <c r="D43" i="4" s="1"/>
  <c r="D13" i="4"/>
  <c r="D6" i="4"/>
  <c r="D18" i="4" s="1"/>
  <c r="D19" i="4" s="1"/>
  <c r="D30" i="3"/>
  <c r="D32" i="3" s="1"/>
  <c r="D41" i="3" s="1"/>
  <c r="F15" i="8" s="1"/>
  <c r="D18" i="3"/>
  <c r="S17" i="8" l="1"/>
  <c r="R18" i="8"/>
  <c r="S18" i="8" s="1"/>
  <c r="D12" i="3"/>
  <c r="D14" i="1" s="1"/>
  <c r="D13" i="1" s="1"/>
  <c r="D35" i="3"/>
  <c r="D19" i="1"/>
  <c r="D20" i="1" s="1"/>
  <c r="D37" i="4"/>
  <c r="D38" i="4" s="1"/>
  <c r="D39" i="4" s="1"/>
  <c r="D20" i="4"/>
  <c r="D26" i="4" s="1"/>
  <c r="D42" i="4" s="1"/>
  <c r="D44" i="4" s="1"/>
  <c r="D24" i="3"/>
  <c r="D19" i="3"/>
  <c r="D26" i="1" l="1"/>
  <c r="D21" i="1"/>
  <c r="F9" i="8"/>
  <c r="D36" i="3"/>
  <c r="D40" i="3"/>
  <c r="D42" i="3" s="1"/>
  <c r="D37" i="1"/>
  <c r="C4" i="6"/>
  <c r="C4" i="7"/>
  <c r="C4" i="5"/>
  <c r="D21" i="4"/>
  <c r="F14" i="8" l="1"/>
  <c r="F16" i="8" s="1"/>
  <c r="C13" i="6"/>
  <c r="C6" i="6"/>
  <c r="G9" i="8"/>
  <c r="D38" i="1"/>
  <c r="C13" i="5"/>
  <c r="H9" i="8" s="1"/>
  <c r="C6" i="5"/>
  <c r="C20" i="5" s="1"/>
  <c r="D42" i="1"/>
  <c r="C13" i="7"/>
  <c r="J9" i="8" s="1"/>
  <c r="C6" i="7"/>
  <c r="C20" i="7" s="1"/>
  <c r="F10" i="8"/>
  <c r="D37" i="3"/>
  <c r="C22" i="5" l="1"/>
  <c r="C24" i="5" s="1"/>
  <c r="C22" i="7"/>
  <c r="C24" i="7" s="1"/>
  <c r="G14" i="8"/>
  <c r="G16" i="8" s="1"/>
  <c r="D44" i="1"/>
  <c r="C20" i="6"/>
  <c r="C22" i="6" s="1"/>
  <c r="I9" i="8"/>
  <c r="D39" i="1"/>
  <c r="G10" i="8"/>
  <c r="H14" i="8" l="1"/>
  <c r="H16" i="8" s="1"/>
  <c r="V8" i="8" s="1"/>
  <c r="V9" i="8" s="1"/>
  <c r="V10" i="8" s="1"/>
  <c r="V11" i="8" s="1"/>
  <c r="V12" i="8" s="1"/>
  <c r="V13" i="8" s="1"/>
  <c r="V14" i="8" s="1"/>
  <c r="V15" i="8" s="1"/>
  <c r="V16" i="8" s="1"/>
  <c r="V17" i="8" s="1"/>
  <c r="V18" i="8" s="1"/>
  <c r="J14" i="8"/>
  <c r="J16" i="8" s="1"/>
  <c r="X8" i="8" s="1"/>
  <c r="X9" i="8" s="1"/>
  <c r="X10" i="8" s="1"/>
  <c r="X11" i="8" s="1"/>
  <c r="X12" i="8" s="1"/>
  <c r="X13" i="8" s="1"/>
  <c r="X14" i="8" s="1"/>
  <c r="X15" i="8" s="1"/>
  <c r="X16" i="8" s="1"/>
  <c r="X17" i="8" s="1"/>
  <c r="X18" i="8" s="1"/>
  <c r="I14" i="8"/>
  <c r="I16" i="8" s="1"/>
  <c r="W8" i="8" s="1"/>
  <c r="W9" i="8" s="1"/>
  <c r="W10" i="8" s="1"/>
  <c r="W11" i="8" s="1"/>
  <c r="W12" i="8" s="1"/>
  <c r="W13" i="8" s="1"/>
  <c r="W14" i="8" s="1"/>
  <c r="W15" i="8" s="1"/>
  <c r="W16" i="8" s="1"/>
  <c r="W17" i="8" s="1"/>
  <c r="W18" i="8" s="1"/>
  <c r="C24" i="6"/>
</calcChain>
</file>

<file path=xl/sharedStrings.xml><?xml version="1.0" encoding="utf-8"?>
<sst xmlns="http://schemas.openxmlformats.org/spreadsheetml/2006/main" count="372" uniqueCount="85">
  <si>
    <t>CENTRAL TERMOELECTRICA</t>
  </si>
  <si>
    <t>Financiamiento de la Inversión</t>
  </si>
  <si>
    <t>Tipo de unidad</t>
  </si>
  <si>
    <t>Tasa</t>
  </si>
  <si>
    <t>anual</t>
  </si>
  <si>
    <t>Potencia Total ISO</t>
  </si>
  <si>
    <t>MW</t>
  </si>
  <si>
    <t>Potencia ciclo simple</t>
  </si>
  <si>
    <t>Potencia Turbina de Vapor</t>
  </si>
  <si>
    <t>Precio FOB</t>
  </si>
  <si>
    <t>Eficiencia</t>
  </si>
  <si>
    <t>Potencia Total Sitio</t>
  </si>
  <si>
    <t xml:space="preserve">Costo de Instalación </t>
  </si>
  <si>
    <t>Miles de $us</t>
  </si>
  <si>
    <t>Transporte + Montaje + Puesta en Marcha</t>
  </si>
  <si>
    <t>Total Inversión</t>
  </si>
  <si>
    <t>Recuperación Inversión</t>
  </si>
  <si>
    <t>Tasa de retorno</t>
  </si>
  <si>
    <t>Vida Útil</t>
  </si>
  <si>
    <t>años</t>
  </si>
  <si>
    <t>Repago anual</t>
  </si>
  <si>
    <t>Miles de $us/año</t>
  </si>
  <si>
    <t>Costo de Producción</t>
  </si>
  <si>
    <t>Heat Rate</t>
  </si>
  <si>
    <t>BTU/kWh</t>
  </si>
  <si>
    <t>Consumo especifico</t>
  </si>
  <si>
    <t>pc/kWh</t>
  </si>
  <si>
    <t>Precio del gas</t>
  </si>
  <si>
    <t>$us/mpc</t>
  </si>
  <si>
    <t>Costo de Combustible</t>
  </si>
  <si>
    <t>$us/MWh</t>
  </si>
  <si>
    <t>Costo Variable O&amp;M&amp;A</t>
  </si>
  <si>
    <t>Total Costo Variable de Producción</t>
  </si>
  <si>
    <t>Factor de Planta</t>
  </si>
  <si>
    <t>Energía generada</t>
  </si>
  <si>
    <t>MWh/año</t>
  </si>
  <si>
    <t>Gas consumido</t>
  </si>
  <si>
    <t>mpc/año</t>
  </si>
  <si>
    <t>MM3dia</t>
  </si>
  <si>
    <t>Costo Total de Producción</t>
  </si>
  <si>
    <t>Costo Variable de Producción</t>
  </si>
  <si>
    <t>SGT 800</t>
  </si>
  <si>
    <t>$us/kW Instalado</t>
  </si>
  <si>
    <t>Potencia Total ISO (2 unidades)</t>
  </si>
  <si>
    <t xml:space="preserve">$us/kW </t>
  </si>
  <si>
    <t>CENTRAL TERMOELECTRICA  CC configuracion 2 x 1</t>
  </si>
  <si>
    <t>Centrales Hidroeléctricas</t>
  </si>
  <si>
    <t>Potencia</t>
  </si>
  <si>
    <t xml:space="preserve">Inversión </t>
  </si>
  <si>
    <t>$us/kW-Instalado</t>
  </si>
  <si>
    <t>Inversión Total</t>
  </si>
  <si>
    <t>Millones de $us</t>
  </si>
  <si>
    <t>Financiamiento</t>
  </si>
  <si>
    <t>Plazo</t>
  </si>
  <si>
    <t>MWh</t>
  </si>
  <si>
    <t>Recuperación de Capital</t>
  </si>
  <si>
    <t>Monto anual a recuperar</t>
  </si>
  <si>
    <t>Millones de $us/año</t>
  </si>
  <si>
    <t>Costo fijo por recuperación de capital</t>
  </si>
  <si>
    <t>O&amp;M&amp;A</t>
  </si>
  <si>
    <t>Total Costo de Producción</t>
  </si>
  <si>
    <t>Centrales Eolicas</t>
  </si>
  <si>
    <t>Centrales Solares</t>
  </si>
  <si>
    <t>Precio Gas</t>
  </si>
  <si>
    <t>RESUMEN</t>
  </si>
  <si>
    <t>Consumo de Gas</t>
  </si>
  <si>
    <t>MMpc/año</t>
  </si>
  <si>
    <t>$us/mpc  (s/IVA)</t>
  </si>
  <si>
    <t>Ciclo Simple</t>
  </si>
  <si>
    <t>Ciclo Combinado</t>
  </si>
  <si>
    <t>Solares</t>
  </si>
  <si>
    <t>(Equivalente a 5000 horas/año)</t>
  </si>
  <si>
    <t>Precio de Gas (sin IVA)</t>
  </si>
  <si>
    <t>Tecnología</t>
  </si>
  <si>
    <t>Hidroeléctricas</t>
  </si>
  <si>
    <t>Eólicas</t>
  </si>
  <si>
    <t>Energía Generada</t>
  </si>
  <si>
    <t>Costo Variable</t>
  </si>
  <si>
    <t>Con IVA</t>
  </si>
  <si>
    <t>Costo de Producción Energía</t>
  </si>
  <si>
    <t>Inversion</t>
  </si>
  <si>
    <t>$us/kW-instalado</t>
  </si>
  <si>
    <t>Geotermico</t>
  </si>
  <si>
    <t>Biomasa</t>
  </si>
  <si>
    <t>Combustible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</si>
</sst>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_(* #,##0_);_(* \(#,##0\);_(* &quot;-&quot;??_);_(@_)"/>
    <numFmt numFmtId="166" formatCode="_(* #,##0.0_);_(* \(#,##0.0\);_(* &quot;-&quot;??_);_(@_)"/>
    <numFmt numFmtId="167" formatCode="#,##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theme="4"/>
        </stop>
      </gradientFill>
    </fill>
    <fill>
      <patternFill patternType="solid">
        <fgColor rgb="FFFFFF00"/>
        <bgColor indexed="64"/>
      </patternFill>
    </fill>
    <fill>
      <gradientFill degree="90">
        <stop position="0">
          <color theme="0"/>
        </stop>
        <stop position="1">
          <color theme="1"/>
        </stop>
      </gradient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2" fillId="2" borderId="0" xfId="0" applyFont="1" applyFill="1"/>
    <xf numFmtId="0" fontId="0" fillId="2" borderId="0" xfId="0" applyFill="1" applyAlignment="1">
      <alignment horizontal="center"/>
    </xf>
    <xf numFmtId="0" fontId="0" fillId="2" borderId="0" xfId="0" applyFill="1"/>
    <xf numFmtId="0" fontId="0" fillId="0" borderId="0" xfId="0" applyAlignment="1">
      <alignment horizontal="center"/>
    </xf>
    <xf numFmtId="10" fontId="0" fillId="0" borderId="0" xfId="0" applyNumberFormat="1"/>
    <xf numFmtId="1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165" fontId="0" fillId="0" borderId="0" xfId="1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1" xfId="0" applyFont="1" applyBorder="1"/>
    <xf numFmtId="165" fontId="2" fillId="0" borderId="1" xfId="0" applyNumberFormat="1" applyFont="1" applyBorder="1" applyAlignment="1">
      <alignment horizontal="center"/>
    </xf>
    <xf numFmtId="9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2" xfId="0" applyFont="1" applyBorder="1"/>
    <xf numFmtId="2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0" fillId="0" borderId="0" xfId="0" applyFont="1" applyFill="1" applyBorder="1"/>
    <xf numFmtId="164" fontId="0" fillId="0" borderId="0" xfId="1" applyNumberFormat="1" applyFont="1" applyAlignment="1">
      <alignment horizontal="center"/>
    </xf>
    <xf numFmtId="0" fontId="0" fillId="0" borderId="5" xfId="0" applyBorder="1"/>
    <xf numFmtId="2" fontId="0" fillId="0" borderId="5" xfId="0" applyNumberForma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3" fillId="3" borderId="0" xfId="0" applyNumberFormat="1" applyFont="1" applyFill="1" applyAlignment="1">
      <alignment horizontal="center"/>
    </xf>
    <xf numFmtId="0" fontId="2" fillId="0" borderId="6" xfId="0" applyFont="1" applyBorder="1"/>
    <xf numFmtId="165" fontId="2" fillId="0" borderId="6" xfId="0" applyNumberFormat="1" applyFont="1" applyBorder="1" applyAlignment="1">
      <alignment horizontal="center"/>
    </xf>
    <xf numFmtId="165" fontId="0" fillId="0" borderId="0" xfId="1" applyNumberFormat="1" applyFont="1"/>
    <xf numFmtId="165" fontId="2" fillId="0" borderId="6" xfId="0" applyNumberFormat="1" applyFont="1" applyBorder="1" applyAlignment="1">
      <alignment horizontal="center" vertical="center"/>
    </xf>
    <xf numFmtId="1" fontId="0" fillId="0" borderId="0" xfId="1" applyNumberFormat="1" applyFont="1"/>
    <xf numFmtId="0" fontId="2" fillId="0" borderId="0" xfId="0" applyFont="1" applyAlignment="1">
      <alignment horizontal="center" vertical="center" wrapText="1"/>
    </xf>
    <xf numFmtId="3" fontId="0" fillId="0" borderId="0" xfId="1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3" fontId="5" fillId="0" borderId="0" xfId="1" applyNumberFormat="1" applyFont="1" applyFill="1" applyAlignment="1">
      <alignment horizontal="center"/>
    </xf>
    <xf numFmtId="3" fontId="0" fillId="0" borderId="0" xfId="0" applyNumberFormat="1"/>
    <xf numFmtId="0" fontId="0" fillId="0" borderId="0" xfId="0" applyBorder="1"/>
    <xf numFmtId="3" fontId="0" fillId="0" borderId="0" xfId="0" applyNumberFormat="1" applyBorder="1" applyAlignment="1">
      <alignment horizontal="center"/>
    </xf>
    <xf numFmtId="0" fontId="2" fillId="0" borderId="7" xfId="0" applyFont="1" applyBorder="1"/>
    <xf numFmtId="3" fontId="2" fillId="0" borderId="7" xfId="0" applyNumberFormat="1" applyFont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/>
    <xf numFmtId="164" fontId="0" fillId="0" borderId="0" xfId="1" applyNumberFormat="1" applyFont="1"/>
    <xf numFmtId="0" fontId="2" fillId="0" borderId="0" xfId="0" applyFont="1" applyFill="1" applyBorder="1"/>
    <xf numFmtId="165" fontId="0" fillId="0" borderId="0" xfId="0" applyNumberFormat="1"/>
    <xf numFmtId="0" fontId="2" fillId="0" borderId="10" xfId="0" applyFont="1" applyBorder="1" applyAlignment="1">
      <alignment horizontal="center" vertical="center" wrapText="1"/>
    </xf>
    <xf numFmtId="9" fontId="0" fillId="0" borderId="0" xfId="2" applyFont="1" applyAlignment="1">
      <alignment horizontal="center"/>
    </xf>
    <xf numFmtId="0" fontId="6" fillId="0" borderId="9" xfId="0" applyFont="1" applyBorder="1"/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164" fontId="0" fillId="0" borderId="0" xfId="1" applyFont="1"/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/>
    <xf numFmtId="0" fontId="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" fontId="6" fillId="0" borderId="0" xfId="0" applyNumberFormat="1" applyFont="1" applyBorder="1" applyAlignment="1">
      <alignment horizontal="center" vertical="center" wrapText="1"/>
    </xf>
    <xf numFmtId="1" fontId="6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" fontId="0" fillId="0" borderId="0" xfId="0" applyNumberFormat="1"/>
    <xf numFmtId="167" fontId="0" fillId="0" borderId="0" xfId="0" applyNumberFormat="1"/>
    <xf numFmtId="0" fontId="4" fillId="4" borderId="7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BO" sz="2000" b="1"/>
              <a:t>Análisis</a:t>
            </a:r>
            <a:r>
              <a:rPr lang="es-BO" sz="2000" b="1" baseline="0"/>
              <a:t> de Alternativas (base precio de gas natural)</a:t>
            </a:r>
            <a:endParaRPr lang="es-BO" sz="2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Resumen!$T$4</c:f>
              <c:strCache>
                <c:ptCount val="1"/>
                <c:pt idx="0">
                  <c:v>Ciclo Simple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Resumen!$S$8:$S$18</c:f>
              <c:numCache>
                <c:formatCode>General</c:formatCode>
                <c:ptCount val="11"/>
                <c:pt idx="0">
                  <c:v>1.131</c:v>
                </c:pt>
                <c:pt idx="1">
                  <c:v>1.74</c:v>
                </c:pt>
                <c:pt idx="2">
                  <c:v>2.61</c:v>
                </c:pt>
                <c:pt idx="3">
                  <c:v>3.48</c:v>
                </c:pt>
                <c:pt idx="4">
                  <c:v>4.3499999999999996</c:v>
                </c:pt>
                <c:pt idx="5">
                  <c:v>5.22</c:v>
                </c:pt>
                <c:pt idx="6">
                  <c:v>6.09</c:v>
                </c:pt>
                <c:pt idx="7">
                  <c:v>6.96</c:v>
                </c:pt>
                <c:pt idx="8">
                  <c:v>7.83</c:v>
                </c:pt>
                <c:pt idx="9">
                  <c:v>8.6999999999999993</c:v>
                </c:pt>
                <c:pt idx="10">
                  <c:v>9.57</c:v>
                </c:pt>
              </c:numCache>
            </c:numRef>
          </c:cat>
          <c:val>
            <c:numRef>
              <c:f>Resumen!$T$8:$T$18</c:f>
              <c:numCache>
                <c:formatCode>_(* #,##0_);_(* \(#,##0\);_(* "-"??_);_(@_)</c:formatCode>
                <c:ptCount val="11"/>
                <c:pt idx="0">
                  <c:v>32.915706445404012</c:v>
                </c:pt>
                <c:pt idx="1">
                  <c:v>39.386331445404011</c:v>
                </c:pt>
                <c:pt idx="2">
                  <c:v>48.630081445404002</c:v>
                </c:pt>
                <c:pt idx="3">
                  <c:v>57.873831445404008</c:v>
                </c:pt>
                <c:pt idx="4">
                  <c:v>67.117581445403999</c:v>
                </c:pt>
                <c:pt idx="5">
                  <c:v>76.361331445404005</c:v>
                </c:pt>
                <c:pt idx="6">
                  <c:v>85.605081445404011</c:v>
                </c:pt>
                <c:pt idx="7">
                  <c:v>94.848831445404016</c:v>
                </c:pt>
                <c:pt idx="8">
                  <c:v>104.09258144540401</c:v>
                </c:pt>
                <c:pt idx="9">
                  <c:v>113.336331445404</c:v>
                </c:pt>
                <c:pt idx="10">
                  <c:v>122.58008144540402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A7-4CAD-B58F-67A1C7C4622F}"/>
            </c:ext>
          </c:extLst>
        </c:ser>
        <c:ser>
          <c:idx val="1"/>
          <c:order val="1"/>
          <c:tx>
            <c:strRef>
              <c:f>Resumen!$U$4</c:f>
              <c:strCache>
                <c:ptCount val="1"/>
                <c:pt idx="0">
                  <c:v>Ciclo Combinado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Resumen!$S$8:$S$18</c:f>
              <c:numCache>
                <c:formatCode>General</c:formatCode>
                <c:ptCount val="11"/>
                <c:pt idx="0">
                  <c:v>1.131</c:v>
                </c:pt>
                <c:pt idx="1">
                  <c:v>1.74</c:v>
                </c:pt>
                <c:pt idx="2">
                  <c:v>2.61</c:v>
                </c:pt>
                <c:pt idx="3">
                  <c:v>3.48</c:v>
                </c:pt>
                <c:pt idx="4">
                  <c:v>4.3499999999999996</c:v>
                </c:pt>
                <c:pt idx="5">
                  <c:v>5.22</c:v>
                </c:pt>
                <c:pt idx="6">
                  <c:v>6.09</c:v>
                </c:pt>
                <c:pt idx="7">
                  <c:v>6.96</c:v>
                </c:pt>
                <c:pt idx="8">
                  <c:v>7.83</c:v>
                </c:pt>
                <c:pt idx="9">
                  <c:v>8.6999999999999993</c:v>
                </c:pt>
                <c:pt idx="10">
                  <c:v>9.57</c:v>
                </c:pt>
              </c:numCache>
            </c:numRef>
          </c:cat>
          <c:val>
            <c:numRef>
              <c:f>Resumen!$U$8:$U$18</c:f>
              <c:numCache>
                <c:formatCode>_(* #,##0_);_(* \(#,##0\);_(* "-"??_);_(@_)</c:formatCode>
                <c:ptCount val="11"/>
                <c:pt idx="0">
                  <c:v>40.430716502099102</c:v>
                </c:pt>
                <c:pt idx="1">
                  <c:v>44.628849684578498</c:v>
                </c:pt>
                <c:pt idx="2">
                  <c:v>50.626182802406198</c:v>
                </c:pt>
                <c:pt idx="3">
                  <c:v>56.623515920233899</c:v>
                </c:pt>
                <c:pt idx="4">
                  <c:v>62.620849038061593</c:v>
                </c:pt>
                <c:pt idx="5">
                  <c:v>68.618182155889301</c:v>
                </c:pt>
                <c:pt idx="6">
                  <c:v>74.615515273717008</c:v>
                </c:pt>
                <c:pt idx="7">
                  <c:v>80.612848391544702</c:v>
                </c:pt>
                <c:pt idx="8">
                  <c:v>86.61018150937241</c:v>
                </c:pt>
                <c:pt idx="9">
                  <c:v>92.607514627200104</c:v>
                </c:pt>
                <c:pt idx="10">
                  <c:v>98.604847745027811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A7-4CAD-B58F-67A1C7C4622F}"/>
            </c:ext>
          </c:extLst>
        </c:ser>
        <c:ser>
          <c:idx val="2"/>
          <c:order val="2"/>
          <c:tx>
            <c:strRef>
              <c:f>Resumen!$V$4</c:f>
              <c:strCache>
                <c:ptCount val="1"/>
                <c:pt idx="0">
                  <c:v>Hidroeléctricas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Resumen!$S$8:$S$18</c:f>
              <c:numCache>
                <c:formatCode>General</c:formatCode>
                <c:ptCount val="11"/>
                <c:pt idx="0">
                  <c:v>1.131</c:v>
                </c:pt>
                <c:pt idx="1">
                  <c:v>1.74</c:v>
                </c:pt>
                <c:pt idx="2">
                  <c:v>2.61</c:v>
                </c:pt>
                <c:pt idx="3">
                  <c:v>3.48</c:v>
                </c:pt>
                <c:pt idx="4">
                  <c:v>4.3499999999999996</c:v>
                </c:pt>
                <c:pt idx="5">
                  <c:v>5.22</c:v>
                </c:pt>
                <c:pt idx="6">
                  <c:v>6.09</c:v>
                </c:pt>
                <c:pt idx="7">
                  <c:v>6.96</c:v>
                </c:pt>
                <c:pt idx="8">
                  <c:v>7.83</c:v>
                </c:pt>
                <c:pt idx="9">
                  <c:v>8.6999999999999993</c:v>
                </c:pt>
                <c:pt idx="10">
                  <c:v>9.57</c:v>
                </c:pt>
              </c:numCache>
            </c:numRef>
          </c:cat>
          <c:val>
            <c:numRef>
              <c:f>Resumen!$V$8:$V$18</c:f>
              <c:numCache>
                <c:formatCode>_(* #,##0_);_(* \(#,##0\);_(* "-"??_);_(@_)</c:formatCode>
                <c:ptCount val="11"/>
                <c:pt idx="0">
                  <c:v>62.547516125932603</c:v>
                </c:pt>
                <c:pt idx="1">
                  <c:v>62.547516125932603</c:v>
                </c:pt>
                <c:pt idx="2">
                  <c:v>62.547516125932603</c:v>
                </c:pt>
                <c:pt idx="3">
                  <c:v>62.547516125932603</c:v>
                </c:pt>
                <c:pt idx="4">
                  <c:v>62.547516125932603</c:v>
                </c:pt>
                <c:pt idx="5">
                  <c:v>62.547516125932603</c:v>
                </c:pt>
                <c:pt idx="6">
                  <c:v>62.547516125932603</c:v>
                </c:pt>
                <c:pt idx="7">
                  <c:v>62.547516125932603</c:v>
                </c:pt>
                <c:pt idx="8">
                  <c:v>62.547516125932603</c:v>
                </c:pt>
                <c:pt idx="9">
                  <c:v>62.547516125932603</c:v>
                </c:pt>
                <c:pt idx="10">
                  <c:v>62.547516125932603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A7-4CAD-B58F-67A1C7C4622F}"/>
            </c:ext>
          </c:extLst>
        </c:ser>
        <c:ser>
          <c:idx val="3"/>
          <c:order val="3"/>
          <c:tx>
            <c:strRef>
              <c:f>Resumen!$W$4</c:f>
              <c:strCache>
                <c:ptCount val="1"/>
                <c:pt idx="0">
                  <c:v>Eólicas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Resumen!$S$8:$S$18</c:f>
              <c:numCache>
                <c:formatCode>General</c:formatCode>
                <c:ptCount val="11"/>
                <c:pt idx="0">
                  <c:v>1.131</c:v>
                </c:pt>
                <c:pt idx="1">
                  <c:v>1.74</c:v>
                </c:pt>
                <c:pt idx="2">
                  <c:v>2.61</c:v>
                </c:pt>
                <c:pt idx="3">
                  <c:v>3.48</c:v>
                </c:pt>
                <c:pt idx="4">
                  <c:v>4.3499999999999996</c:v>
                </c:pt>
                <c:pt idx="5">
                  <c:v>5.22</c:v>
                </c:pt>
                <c:pt idx="6">
                  <c:v>6.09</c:v>
                </c:pt>
                <c:pt idx="7">
                  <c:v>6.96</c:v>
                </c:pt>
                <c:pt idx="8">
                  <c:v>7.83</c:v>
                </c:pt>
                <c:pt idx="9">
                  <c:v>8.6999999999999993</c:v>
                </c:pt>
                <c:pt idx="10">
                  <c:v>9.57</c:v>
                </c:pt>
              </c:numCache>
            </c:numRef>
          </c:cat>
          <c:val>
            <c:numRef>
              <c:f>Resumen!$W$8:$W$18</c:f>
              <c:numCache>
                <c:formatCode>_(* #,##0_);_(* \(#,##0\);_(* "-"??_);_(@_)</c:formatCode>
                <c:ptCount val="11"/>
                <c:pt idx="0">
                  <c:v>72.043164824512445</c:v>
                </c:pt>
                <c:pt idx="1">
                  <c:v>72.043164824512445</c:v>
                </c:pt>
                <c:pt idx="2">
                  <c:v>72.043164824512445</c:v>
                </c:pt>
                <c:pt idx="3">
                  <c:v>72.043164824512445</c:v>
                </c:pt>
                <c:pt idx="4">
                  <c:v>72.043164824512445</c:v>
                </c:pt>
                <c:pt idx="5">
                  <c:v>72.043164824512445</c:v>
                </c:pt>
                <c:pt idx="6">
                  <c:v>72.043164824512445</c:v>
                </c:pt>
                <c:pt idx="7">
                  <c:v>72.043164824512445</c:v>
                </c:pt>
                <c:pt idx="8">
                  <c:v>72.043164824512445</c:v>
                </c:pt>
                <c:pt idx="9">
                  <c:v>72.043164824512445</c:v>
                </c:pt>
                <c:pt idx="10">
                  <c:v>72.043164824512445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A7-4CAD-B58F-67A1C7C4622F}"/>
            </c:ext>
          </c:extLst>
        </c:ser>
        <c:ser>
          <c:idx val="4"/>
          <c:order val="4"/>
          <c:tx>
            <c:strRef>
              <c:f>Resumen!$X$4</c:f>
              <c:strCache>
                <c:ptCount val="1"/>
                <c:pt idx="0">
                  <c:v>Solares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Resumen!$S$8:$S$18</c:f>
              <c:numCache>
                <c:formatCode>General</c:formatCode>
                <c:ptCount val="11"/>
                <c:pt idx="0">
                  <c:v>1.131</c:v>
                </c:pt>
                <c:pt idx="1">
                  <c:v>1.74</c:v>
                </c:pt>
                <c:pt idx="2">
                  <c:v>2.61</c:v>
                </c:pt>
                <c:pt idx="3">
                  <c:v>3.48</c:v>
                </c:pt>
                <c:pt idx="4">
                  <c:v>4.3499999999999996</c:v>
                </c:pt>
                <c:pt idx="5">
                  <c:v>5.22</c:v>
                </c:pt>
                <c:pt idx="6">
                  <c:v>6.09</c:v>
                </c:pt>
                <c:pt idx="7">
                  <c:v>6.96</c:v>
                </c:pt>
                <c:pt idx="8">
                  <c:v>7.83</c:v>
                </c:pt>
                <c:pt idx="9">
                  <c:v>8.6999999999999993</c:v>
                </c:pt>
                <c:pt idx="10">
                  <c:v>9.57</c:v>
                </c:pt>
              </c:numCache>
            </c:numRef>
          </c:cat>
          <c:val>
            <c:numRef>
              <c:f>Resumen!$X$8:$X$18</c:f>
              <c:numCache>
                <c:formatCode>_(* #,##0_);_(* \(#,##0\);_(* "-"??_);_(@_)</c:formatCode>
                <c:ptCount val="11"/>
                <c:pt idx="0">
                  <c:v>72.043164824512431</c:v>
                </c:pt>
                <c:pt idx="1">
                  <c:v>72.043164824512431</c:v>
                </c:pt>
                <c:pt idx="2">
                  <c:v>72.043164824512431</c:v>
                </c:pt>
                <c:pt idx="3">
                  <c:v>72.043164824512431</c:v>
                </c:pt>
                <c:pt idx="4">
                  <c:v>72.043164824512431</c:v>
                </c:pt>
                <c:pt idx="5">
                  <c:v>72.043164824512431</c:v>
                </c:pt>
                <c:pt idx="6">
                  <c:v>72.043164824512431</c:v>
                </c:pt>
                <c:pt idx="7">
                  <c:v>72.043164824512431</c:v>
                </c:pt>
                <c:pt idx="8">
                  <c:v>72.043164824512431</c:v>
                </c:pt>
                <c:pt idx="9">
                  <c:v>72.043164824512431</c:v>
                </c:pt>
                <c:pt idx="10">
                  <c:v>72.043164824512431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CA7-4CAD-B58F-67A1C7C462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556456"/>
        <c:axId val="252556064"/>
      </c:lineChart>
      <c:catAx>
        <c:axId val="252556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BO" sz="1800" b="1">
                    <a:solidFill>
                      <a:sysClr val="windowText" lastClr="000000"/>
                    </a:solidFill>
                  </a:rPr>
                  <a:t>Precio del gas sin IVA ($us/mpc)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52556064"/>
        <c:crosses val="autoZero"/>
        <c:auto val="1"/>
        <c:lblAlgn val="ctr"/>
        <c:lblOffset val="100"/>
        <c:noMultiLvlLbl val="0"/>
      </c:catAx>
      <c:valAx>
        <c:axId val="25255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BO" sz="1600" b="1">
                    <a:solidFill>
                      <a:sysClr val="windowText" lastClr="000000"/>
                    </a:solidFill>
                  </a:rPr>
                  <a:t>Costo Monómico de Energía ($us/MWh)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52556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rgb="FFC00000"/>
  </sheetPr>
  <sheetViews>
    <sheetView zoomScale="84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Drop" dropStyle="combo" dx="16" fmlaLink="B12" fmlaRange="$R$8:$R$18" noThreeD="1" sel="7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647700</xdr:colOff>
      <xdr:row>0</xdr:row>
      <xdr:rowOff>0</xdr:rowOff>
    </xdr:from>
    <xdr:to>
      <xdr:col>7</xdr:col>
      <xdr:colOff>542925</xdr:colOff>
      <xdr:row>1</xdr:row>
      <xdr:rowOff>76200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0"/>
          <a:ext cx="7496175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708660</xdr:colOff>
          <xdr:row>11</xdr:row>
          <xdr:rowOff>0</xdr:rowOff>
        </xdr:from>
        <xdr:to>
          <xdr:col>2</xdr:col>
          <xdr:colOff>22860</xdr:colOff>
          <xdr:row>12</xdr:row>
          <xdr:rowOff>7620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4" Type="http://schemas.openxmlformats.org/officeDocument/2006/relationships/ctrlProp" Target="../ctrlProps/ctrlProp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43"/>
  <sheetViews>
    <sheetView showGridLines="0" topLeftCell="A19" workbookViewId="0">
      <selection activeCell="D34" sqref="D34"/>
    </sheetView>
  </sheetViews>
  <sheetFormatPr baseColWidth="10" defaultRowHeight="14.4" x14ac:dyDescent="0.3"/>
  <cols>
    <col min="3" max="3" width="38.6640625" customWidth="1"/>
    <col min="4" max="4" width="13.109375" style="4" bestFit="1" customWidth="1"/>
    <col min="5" max="5" width="16.44140625" bestFit="1" customWidth="1"/>
  </cols>
  <sheetData>
    <row r="3" spans="3:9" x14ac:dyDescent="0.3">
      <c r="C3" s="1" t="s">
        <v>0</v>
      </c>
      <c r="D3" s="2"/>
      <c r="E3" s="3"/>
      <c r="G3" t="s">
        <v>1</v>
      </c>
    </row>
    <row r="5" spans="3:9" x14ac:dyDescent="0.3">
      <c r="C5" t="s">
        <v>2</v>
      </c>
      <c r="D5" s="4" t="s">
        <v>41</v>
      </c>
      <c r="G5" t="s">
        <v>3</v>
      </c>
      <c r="H5" s="5">
        <v>4.4999999999999998E-2</v>
      </c>
      <c r="I5" t="s">
        <v>4</v>
      </c>
    </row>
    <row r="6" spans="3:9" x14ac:dyDescent="0.3">
      <c r="C6" t="s">
        <v>43</v>
      </c>
      <c r="D6" s="6">
        <f>D7+D8</f>
        <v>95</v>
      </c>
      <c r="E6" t="s">
        <v>6</v>
      </c>
    </row>
    <row r="7" spans="3:9" x14ac:dyDescent="0.3">
      <c r="C7" t="s">
        <v>7</v>
      </c>
      <c r="D7" s="6">
        <f>47.5*2</f>
        <v>95</v>
      </c>
      <c r="E7" t="s">
        <v>6</v>
      </c>
    </row>
    <row r="8" spans="3:9" x14ac:dyDescent="0.3">
      <c r="C8" t="s">
        <v>8</v>
      </c>
      <c r="D8" s="6">
        <v>0</v>
      </c>
      <c r="E8" t="s">
        <v>6</v>
      </c>
    </row>
    <row r="9" spans="3:9" x14ac:dyDescent="0.3">
      <c r="C9" t="s">
        <v>9</v>
      </c>
      <c r="D9" s="4">
        <v>338</v>
      </c>
      <c r="E9" t="s">
        <v>44</v>
      </c>
    </row>
    <row r="10" spans="3:9" ht="14.25" customHeight="1" x14ac:dyDescent="0.3">
      <c r="D10" s="7"/>
    </row>
    <row r="11" spans="3:9" x14ac:dyDescent="0.3">
      <c r="C11" t="s">
        <v>11</v>
      </c>
      <c r="D11" s="6">
        <f>D6*0.94</f>
        <v>89.3</v>
      </c>
      <c r="E11" t="s">
        <v>6</v>
      </c>
    </row>
    <row r="12" spans="3:9" x14ac:dyDescent="0.3">
      <c r="C12" t="s">
        <v>7</v>
      </c>
      <c r="D12" s="6">
        <f>D11-D13</f>
        <v>89.3</v>
      </c>
      <c r="E12" t="s">
        <v>6</v>
      </c>
    </row>
    <row r="13" spans="3:9" x14ac:dyDescent="0.3">
      <c r="C13" t="s">
        <v>8</v>
      </c>
      <c r="D13" s="6">
        <v>0</v>
      </c>
      <c r="E13" t="s">
        <v>6</v>
      </c>
    </row>
    <row r="15" spans="3:9" x14ac:dyDescent="0.3">
      <c r="C15" s="8" t="s">
        <v>12</v>
      </c>
      <c r="D15" s="9"/>
    </row>
    <row r="16" spans="3:9" x14ac:dyDescent="0.3">
      <c r="C16" t="s">
        <v>9</v>
      </c>
      <c r="D16" s="10">
        <f>D9*D6</f>
        <v>32110</v>
      </c>
      <c r="E16" t="s">
        <v>13</v>
      </c>
      <c r="H16" s="29"/>
    </row>
    <row r="17" spans="3:5" x14ac:dyDescent="0.3">
      <c r="C17" t="s">
        <v>14</v>
      </c>
      <c r="D17" s="11">
        <f>D16*0.85</f>
        <v>27293.5</v>
      </c>
      <c r="E17" t="s">
        <v>13</v>
      </c>
    </row>
    <row r="18" spans="3:5" ht="15" thickBot="1" x14ac:dyDescent="0.35">
      <c r="C18" s="12" t="s">
        <v>15</v>
      </c>
      <c r="D18" s="13">
        <f>SUM(D16:D17)</f>
        <v>59403.5</v>
      </c>
      <c r="E18" s="12" t="s">
        <v>13</v>
      </c>
    </row>
    <row r="19" spans="3:5" ht="15.6" thickTop="1" thickBot="1" x14ac:dyDescent="0.35">
      <c r="C19" s="27" t="s">
        <v>42</v>
      </c>
      <c r="D19" s="28">
        <f>D18/D11</f>
        <v>665.21276595744678</v>
      </c>
      <c r="E19" s="27"/>
    </row>
    <row r="20" spans="3:5" ht="15" thickTop="1" x14ac:dyDescent="0.3"/>
    <row r="21" spans="3:5" x14ac:dyDescent="0.3">
      <c r="C21" s="1" t="s">
        <v>16</v>
      </c>
      <c r="D21" s="2"/>
      <c r="E21" s="3"/>
    </row>
    <row r="22" spans="3:5" x14ac:dyDescent="0.3">
      <c r="C22" t="s">
        <v>17</v>
      </c>
      <c r="D22" s="14">
        <v>0.12</v>
      </c>
      <c r="E22" t="s">
        <v>4</v>
      </c>
    </row>
    <row r="23" spans="3:5" x14ac:dyDescent="0.3">
      <c r="C23" t="s">
        <v>18</v>
      </c>
      <c r="D23" s="4">
        <v>20</v>
      </c>
      <c r="E23" t="s">
        <v>19</v>
      </c>
    </row>
    <row r="24" spans="3:5" x14ac:dyDescent="0.3">
      <c r="C24" t="s">
        <v>20</v>
      </c>
      <c r="D24" s="10">
        <f>PMT(D22,D23,-D18)</f>
        <v>7952.8681100859822</v>
      </c>
      <c r="E24" t="s">
        <v>21</v>
      </c>
    </row>
    <row r="26" spans="3:5" x14ac:dyDescent="0.3">
      <c r="C26" s="8" t="s">
        <v>22</v>
      </c>
    </row>
    <row r="27" spans="3:5" x14ac:dyDescent="0.3">
      <c r="C27" t="s">
        <v>23</v>
      </c>
      <c r="D27" s="10">
        <v>9775</v>
      </c>
      <c r="E27" t="s">
        <v>24</v>
      </c>
    </row>
    <row r="28" spans="3:5" x14ac:dyDescent="0.3">
      <c r="C28" t="s">
        <v>25</v>
      </c>
      <c r="D28" s="15">
        <f>D27/920</f>
        <v>10.625</v>
      </c>
      <c r="E28" t="s">
        <v>26</v>
      </c>
    </row>
    <row r="29" spans="3:5" x14ac:dyDescent="0.3">
      <c r="C29" t="s">
        <v>27</v>
      </c>
      <c r="D29" s="26">
        <f>+Resumen!E12</f>
        <v>6.09</v>
      </c>
      <c r="E29" t="s">
        <v>28</v>
      </c>
    </row>
    <row r="30" spans="3:5" x14ac:dyDescent="0.3">
      <c r="C30" s="8" t="s">
        <v>29</v>
      </c>
      <c r="D30" s="16">
        <f>D29*D28</f>
        <v>64.706249999999997</v>
      </c>
      <c r="E30" s="8" t="s">
        <v>30</v>
      </c>
    </row>
    <row r="31" spans="3:5" x14ac:dyDescent="0.3">
      <c r="C31" t="s">
        <v>31</v>
      </c>
      <c r="D31" s="17">
        <v>3.0630000000000002</v>
      </c>
      <c r="E31" s="8" t="s">
        <v>30</v>
      </c>
    </row>
    <row r="32" spans="3:5" x14ac:dyDescent="0.3">
      <c r="C32" s="18" t="s">
        <v>32</v>
      </c>
      <c r="D32" s="19">
        <f>D31+D30</f>
        <v>67.76925</v>
      </c>
      <c r="E32" s="20" t="s">
        <v>30</v>
      </c>
    </row>
    <row r="33" spans="3:5" x14ac:dyDescent="0.3">
      <c r="D33" s="17"/>
    </row>
    <row r="34" spans="3:5" x14ac:dyDescent="0.3">
      <c r="C34" s="21" t="s">
        <v>33</v>
      </c>
      <c r="D34" s="14">
        <v>0.56999999999999995</v>
      </c>
      <c r="E34" s="46" t="s">
        <v>71</v>
      </c>
    </row>
    <row r="35" spans="3:5" x14ac:dyDescent="0.3">
      <c r="C35" t="s">
        <v>34</v>
      </c>
      <c r="D35" s="10">
        <f>D11*D34*8760</f>
        <v>445892.75999999995</v>
      </c>
      <c r="E35" s="21" t="s">
        <v>35</v>
      </c>
    </row>
    <row r="36" spans="3:5" x14ac:dyDescent="0.3">
      <c r="C36" t="s">
        <v>36</v>
      </c>
      <c r="D36" s="10">
        <f>D35*D28</f>
        <v>4737610.5749999993</v>
      </c>
      <c r="E36" s="21" t="s">
        <v>37</v>
      </c>
    </row>
    <row r="37" spans="3:5" x14ac:dyDescent="0.3">
      <c r="C37" t="s">
        <v>36</v>
      </c>
      <c r="D37" s="22">
        <f>D36/35.31/365/1000</f>
        <v>0.36759430756159717</v>
      </c>
      <c r="E37" s="21" t="s">
        <v>38</v>
      </c>
    </row>
    <row r="39" spans="3:5" x14ac:dyDescent="0.3">
      <c r="C39" s="8" t="s">
        <v>39</v>
      </c>
    </row>
    <row r="40" spans="3:5" x14ac:dyDescent="0.3">
      <c r="C40" t="s">
        <v>16</v>
      </c>
      <c r="D40" s="17">
        <f>D24*1000/D35</f>
        <v>17.835831445404008</v>
      </c>
      <c r="E40" t="s">
        <v>30</v>
      </c>
    </row>
    <row r="41" spans="3:5" x14ac:dyDescent="0.3">
      <c r="C41" s="23" t="s">
        <v>40</v>
      </c>
      <c r="D41" s="24">
        <f>D32</f>
        <v>67.76925</v>
      </c>
      <c r="E41" s="23" t="s">
        <v>30</v>
      </c>
    </row>
    <row r="42" spans="3:5" ht="15" thickBot="1" x14ac:dyDescent="0.35">
      <c r="C42" s="12" t="s">
        <v>39</v>
      </c>
      <c r="D42" s="25">
        <f>SUM(D40:D41)</f>
        <v>85.605081445404011</v>
      </c>
      <c r="E42" s="12" t="s">
        <v>30</v>
      </c>
    </row>
    <row r="43" spans="3:5" ht="15" thickTop="1" x14ac:dyDescent="0.3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45"/>
  <sheetViews>
    <sheetView showGridLines="0" topLeftCell="A22" workbookViewId="0">
      <selection activeCell="D31" sqref="D31"/>
    </sheetView>
  </sheetViews>
  <sheetFormatPr baseColWidth="10" defaultRowHeight="14.4" x14ac:dyDescent="0.3"/>
  <cols>
    <col min="3" max="3" width="38.6640625" customWidth="1"/>
    <col min="4" max="4" width="13.109375" style="4" bestFit="1" customWidth="1"/>
    <col min="5" max="5" width="16.44140625" bestFit="1" customWidth="1"/>
  </cols>
  <sheetData>
    <row r="3" spans="3:9" x14ac:dyDescent="0.3">
      <c r="C3" s="1" t="s">
        <v>45</v>
      </c>
      <c r="D3" s="2"/>
      <c r="E3" s="3"/>
      <c r="G3" t="s">
        <v>1</v>
      </c>
    </row>
    <row r="5" spans="3:9" x14ac:dyDescent="0.3">
      <c r="C5" t="s">
        <v>2</v>
      </c>
      <c r="D5" s="4" t="s">
        <v>41</v>
      </c>
      <c r="G5" t="s">
        <v>3</v>
      </c>
      <c r="H5" s="5">
        <v>4.4999999999999998E-2</v>
      </c>
      <c r="I5" t="s">
        <v>4</v>
      </c>
    </row>
    <row r="6" spans="3:9" x14ac:dyDescent="0.3">
      <c r="C6" t="s">
        <v>5</v>
      </c>
      <c r="D6" s="6">
        <f>+D7+D8</f>
        <v>142.5</v>
      </c>
      <c r="E6" t="s">
        <v>6</v>
      </c>
    </row>
    <row r="7" spans="3:9" x14ac:dyDescent="0.3">
      <c r="C7" t="s">
        <v>7</v>
      </c>
      <c r="D7" s="6">
        <f>'Termo CS'!D7</f>
        <v>95</v>
      </c>
      <c r="E7" t="s">
        <v>6</v>
      </c>
    </row>
    <row r="8" spans="3:9" x14ac:dyDescent="0.3">
      <c r="C8" t="s">
        <v>8</v>
      </c>
      <c r="D8" s="6">
        <f>D7*0.5</f>
        <v>47.5</v>
      </c>
      <c r="E8" t="s">
        <v>6</v>
      </c>
    </row>
    <row r="9" spans="3:9" x14ac:dyDescent="0.3">
      <c r="C9" t="s">
        <v>9</v>
      </c>
      <c r="D9" s="4">
        <v>964</v>
      </c>
      <c r="E9" t="s">
        <v>44</v>
      </c>
    </row>
    <row r="10" spans="3:9" ht="14.25" customHeight="1" x14ac:dyDescent="0.3">
      <c r="C10" t="s">
        <v>10</v>
      </c>
      <c r="D10" s="7">
        <v>0.53800000000000003</v>
      </c>
    </row>
    <row r="11" spans="3:9" ht="14.25" customHeight="1" x14ac:dyDescent="0.3">
      <c r="D11" s="7"/>
    </row>
    <row r="12" spans="3:9" ht="14.25" customHeight="1" x14ac:dyDescent="0.3">
      <c r="D12" s="7"/>
    </row>
    <row r="13" spans="3:9" x14ac:dyDescent="0.3">
      <c r="C13" t="s">
        <v>11</v>
      </c>
      <c r="D13" s="6">
        <f>+D14+D15</f>
        <v>136.80000000000001</v>
      </c>
      <c r="E13" t="s">
        <v>6</v>
      </c>
    </row>
    <row r="14" spans="3:9" x14ac:dyDescent="0.3">
      <c r="C14" t="s">
        <v>7</v>
      </c>
      <c r="D14" s="6">
        <f>'Termo CS'!D12</f>
        <v>89.3</v>
      </c>
      <c r="E14" t="s">
        <v>6</v>
      </c>
    </row>
    <row r="15" spans="3:9" x14ac:dyDescent="0.3">
      <c r="C15" t="s">
        <v>8</v>
      </c>
      <c r="D15" s="6">
        <f>D8</f>
        <v>47.5</v>
      </c>
      <c r="E15" t="s">
        <v>6</v>
      </c>
    </row>
    <row r="17" spans="3:5" x14ac:dyDescent="0.3">
      <c r="C17" s="8" t="s">
        <v>12</v>
      </c>
      <c r="D17" s="9"/>
    </row>
    <row r="18" spans="3:5" x14ac:dyDescent="0.3">
      <c r="C18" t="s">
        <v>9</v>
      </c>
      <c r="D18" s="10">
        <f>D9*D6</f>
        <v>137370</v>
      </c>
      <c r="E18" t="s">
        <v>13</v>
      </c>
    </row>
    <row r="19" spans="3:5" x14ac:dyDescent="0.3">
      <c r="C19" t="s">
        <v>14</v>
      </c>
      <c r="D19" s="11">
        <f>D18*0.8</f>
        <v>109896</v>
      </c>
      <c r="E19" t="s">
        <v>13</v>
      </c>
    </row>
    <row r="20" spans="3:5" ht="15" thickBot="1" x14ac:dyDescent="0.35">
      <c r="C20" s="12" t="s">
        <v>15</v>
      </c>
      <c r="D20" s="13">
        <f>SUM(D18:D19)</f>
        <v>247266</v>
      </c>
      <c r="E20" s="12" t="s">
        <v>13</v>
      </c>
    </row>
    <row r="21" spans="3:5" ht="15.6" thickTop="1" thickBot="1" x14ac:dyDescent="0.35">
      <c r="C21" s="27" t="s">
        <v>42</v>
      </c>
      <c r="D21" s="28">
        <f>D20/D13</f>
        <v>1807.4999999999998</v>
      </c>
      <c r="E21" s="27"/>
    </row>
    <row r="22" spans="3:5" ht="15" thickTop="1" x14ac:dyDescent="0.3"/>
    <row r="23" spans="3:5" x14ac:dyDescent="0.3">
      <c r="C23" s="1" t="s">
        <v>16</v>
      </c>
      <c r="D23" s="2"/>
      <c r="E23" s="3"/>
    </row>
    <row r="24" spans="3:5" x14ac:dyDescent="0.3">
      <c r="C24" t="s">
        <v>17</v>
      </c>
      <c r="D24" s="14">
        <v>0.12</v>
      </c>
      <c r="E24" t="s">
        <v>4</v>
      </c>
    </row>
    <row r="25" spans="3:5" x14ac:dyDescent="0.3">
      <c r="C25" t="s">
        <v>18</v>
      </c>
      <c r="D25" s="4">
        <v>20</v>
      </c>
      <c r="E25" t="s">
        <v>19</v>
      </c>
    </row>
    <row r="26" spans="3:5" x14ac:dyDescent="0.3">
      <c r="C26" t="s">
        <v>20</v>
      </c>
      <c r="D26" s="10">
        <f>PMT(D24,D25,-D20)</f>
        <v>33103.670425286735</v>
      </c>
      <c r="E26" t="s">
        <v>21</v>
      </c>
    </row>
    <row r="28" spans="3:5" x14ac:dyDescent="0.3">
      <c r="C28" s="8" t="s">
        <v>22</v>
      </c>
    </row>
    <row r="29" spans="3:5" x14ac:dyDescent="0.3">
      <c r="C29" t="s">
        <v>23</v>
      </c>
      <c r="D29" s="10">
        <f>3412/D10</f>
        <v>6342.0074349442375</v>
      </c>
      <c r="E29" t="s">
        <v>24</v>
      </c>
    </row>
    <row r="30" spans="3:5" x14ac:dyDescent="0.3">
      <c r="C30" t="s">
        <v>25</v>
      </c>
      <c r="D30" s="15">
        <f>D29/920</f>
        <v>6.8934863423306929</v>
      </c>
      <c r="E30" t="s">
        <v>26</v>
      </c>
    </row>
    <row r="31" spans="3:5" x14ac:dyDescent="0.3">
      <c r="C31" t="s">
        <v>27</v>
      </c>
      <c r="D31" s="26">
        <f>+Resumen!E12</f>
        <v>6.09</v>
      </c>
      <c r="E31" t="s">
        <v>28</v>
      </c>
    </row>
    <row r="32" spans="3:5" x14ac:dyDescent="0.3">
      <c r="C32" s="8" t="s">
        <v>29</v>
      </c>
      <c r="D32" s="16">
        <f>D31*D30</f>
        <v>41.981331824793919</v>
      </c>
      <c r="E32" s="8" t="s">
        <v>30</v>
      </c>
    </row>
    <row r="33" spans="3:5" x14ac:dyDescent="0.3">
      <c r="C33" t="s">
        <v>31</v>
      </c>
      <c r="D33" s="17">
        <v>2.931</v>
      </c>
      <c r="E33" s="8" t="s">
        <v>30</v>
      </c>
    </row>
    <row r="34" spans="3:5" x14ac:dyDescent="0.3">
      <c r="C34" s="18" t="s">
        <v>32</v>
      </c>
      <c r="D34" s="19">
        <f>D33+D32</f>
        <v>44.912331824793917</v>
      </c>
      <c r="E34" s="20" t="s">
        <v>30</v>
      </c>
    </row>
    <row r="35" spans="3:5" x14ac:dyDescent="0.3">
      <c r="D35" s="17"/>
    </row>
    <row r="36" spans="3:5" x14ac:dyDescent="0.3">
      <c r="C36" s="21" t="s">
        <v>33</v>
      </c>
      <c r="D36" s="14">
        <v>0.7</v>
      </c>
    </row>
    <row r="37" spans="3:5" x14ac:dyDescent="0.3">
      <c r="C37" t="s">
        <v>34</v>
      </c>
      <c r="D37" s="10">
        <f>D13*D36*8760</f>
        <v>838857.60000000009</v>
      </c>
      <c r="E37" s="21" t="s">
        <v>35</v>
      </c>
    </row>
    <row r="38" spans="3:5" x14ac:dyDescent="0.3">
      <c r="C38" t="s">
        <v>36</v>
      </c>
      <c r="D38" s="10">
        <f>D37*D30</f>
        <v>5782653.4087603046</v>
      </c>
      <c r="E38" s="21" t="s">
        <v>37</v>
      </c>
    </row>
    <row r="39" spans="3:5" x14ac:dyDescent="0.3">
      <c r="C39" t="s">
        <v>36</v>
      </c>
      <c r="D39" s="22">
        <f>D38/35.31/365/1000</f>
        <v>0.44867986551679678</v>
      </c>
      <c r="E39" s="21" t="s">
        <v>38</v>
      </c>
    </row>
    <row r="41" spans="3:5" x14ac:dyDescent="0.3">
      <c r="C41" s="8" t="s">
        <v>39</v>
      </c>
    </row>
    <row r="42" spans="3:5" x14ac:dyDescent="0.3">
      <c r="C42" t="s">
        <v>16</v>
      </c>
      <c r="D42" s="17">
        <f>D26*1000/D37</f>
        <v>39.462800867854966</v>
      </c>
      <c r="E42" t="s">
        <v>30</v>
      </c>
    </row>
    <row r="43" spans="3:5" x14ac:dyDescent="0.3">
      <c r="C43" s="23" t="s">
        <v>40</v>
      </c>
      <c r="D43" s="24">
        <f>D34</f>
        <v>44.912331824793917</v>
      </c>
      <c r="E43" s="23" t="s">
        <v>30</v>
      </c>
    </row>
    <row r="44" spans="3:5" ht="15" thickBot="1" x14ac:dyDescent="0.35">
      <c r="C44" s="12" t="s">
        <v>39</v>
      </c>
      <c r="D44" s="25">
        <f>SUM(D42:D43)</f>
        <v>84.37513269264889</v>
      </c>
      <c r="E44" s="12" t="s">
        <v>30</v>
      </c>
    </row>
    <row r="45" spans="3:5" ht="15" thickTop="1" x14ac:dyDescent="0.3"/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5"/>
  <sheetViews>
    <sheetView showGridLines="0" topLeftCell="A10" workbookViewId="0">
      <selection activeCell="C13" sqref="C13"/>
    </sheetView>
  </sheetViews>
  <sheetFormatPr baseColWidth="10" defaultRowHeight="14.4" x14ac:dyDescent="0.3"/>
  <cols>
    <col min="2" max="2" width="34.109375" customWidth="1"/>
    <col min="3" max="3" width="18.6640625" style="4" customWidth="1"/>
    <col min="4" max="4" width="21.33203125" customWidth="1"/>
  </cols>
  <sheetData>
    <row r="1" spans="2:5" ht="15" thickBot="1" x14ac:dyDescent="0.35"/>
    <row r="2" spans="2:5" ht="22.2" thickTop="1" thickBot="1" x14ac:dyDescent="0.35">
      <c r="B2" s="64" t="s">
        <v>46</v>
      </c>
      <c r="C2" s="64"/>
      <c r="D2" s="64"/>
    </row>
    <row r="3" spans="2:5" ht="15" thickTop="1" x14ac:dyDescent="0.3">
      <c r="B3" s="8"/>
      <c r="C3" s="32"/>
    </row>
    <row r="4" spans="2:5" x14ac:dyDescent="0.3">
      <c r="B4" t="s">
        <v>47</v>
      </c>
      <c r="C4" s="33">
        <f>'Termo CC'!D13</f>
        <v>136.80000000000001</v>
      </c>
      <c r="D4" t="s">
        <v>6</v>
      </c>
    </row>
    <row r="5" spans="2:5" x14ac:dyDescent="0.3">
      <c r="B5" t="s">
        <v>48</v>
      </c>
      <c r="C5" s="35">
        <v>2500</v>
      </c>
      <c r="D5" t="s">
        <v>49</v>
      </c>
      <c r="E5" s="36"/>
    </row>
    <row r="6" spans="2:5" x14ac:dyDescent="0.3">
      <c r="B6" t="s">
        <v>50</v>
      </c>
      <c r="C6" s="33">
        <f>C5*C4/1000</f>
        <v>342</v>
      </c>
      <c r="D6" t="s">
        <v>51</v>
      </c>
      <c r="E6" s="36"/>
    </row>
    <row r="7" spans="2:5" x14ac:dyDescent="0.3">
      <c r="B7" s="8" t="s">
        <v>52</v>
      </c>
      <c r="C7" s="34"/>
    </row>
    <row r="8" spans="2:5" x14ac:dyDescent="0.3">
      <c r="B8" t="s">
        <v>3</v>
      </c>
      <c r="C8" s="7">
        <v>4.4999999999999998E-2</v>
      </c>
      <c r="D8" t="s">
        <v>4</v>
      </c>
    </row>
    <row r="9" spans="2:5" x14ac:dyDescent="0.3">
      <c r="B9" t="s">
        <v>53</v>
      </c>
      <c r="C9" s="4">
        <v>30</v>
      </c>
      <c r="D9" t="s">
        <v>19</v>
      </c>
    </row>
    <row r="12" spans="2:5" x14ac:dyDescent="0.3">
      <c r="B12" t="s">
        <v>33</v>
      </c>
      <c r="C12" s="4">
        <v>0.5</v>
      </c>
    </row>
    <row r="13" spans="2:5" x14ac:dyDescent="0.3">
      <c r="B13" t="s">
        <v>34</v>
      </c>
      <c r="C13" s="11">
        <f>C12*C4*8760</f>
        <v>599184</v>
      </c>
      <c r="D13" t="s">
        <v>54</v>
      </c>
    </row>
    <row r="15" spans="2:5" x14ac:dyDescent="0.3">
      <c r="B15" t="s">
        <v>55</v>
      </c>
    </row>
    <row r="16" spans="2:5" x14ac:dyDescent="0.3">
      <c r="B16" t="s">
        <v>53</v>
      </c>
      <c r="C16" s="4">
        <v>30</v>
      </c>
      <c r="D16" t="s">
        <v>19</v>
      </c>
    </row>
    <row r="17" spans="2:4" x14ac:dyDescent="0.3">
      <c r="B17" t="s">
        <v>3</v>
      </c>
      <c r="C17" s="14">
        <v>0.1</v>
      </c>
      <c r="D17" t="s">
        <v>4</v>
      </c>
    </row>
    <row r="18" spans="2:4" x14ac:dyDescent="0.3">
      <c r="B18" t="s">
        <v>18</v>
      </c>
      <c r="C18" s="4">
        <v>50</v>
      </c>
      <c r="D18" t="s">
        <v>19</v>
      </c>
    </row>
    <row r="20" spans="2:4" x14ac:dyDescent="0.3">
      <c r="B20" t="s">
        <v>56</v>
      </c>
      <c r="C20" s="33">
        <f>PMT(C17,C16,-C6)</f>
        <v>36.279102902400801</v>
      </c>
      <c r="D20" t="s">
        <v>57</v>
      </c>
    </row>
    <row r="21" spans="2:4" x14ac:dyDescent="0.3">
      <c r="C21" s="10"/>
    </row>
    <row r="22" spans="2:4" x14ac:dyDescent="0.3">
      <c r="B22" t="s">
        <v>58</v>
      </c>
      <c r="C22" s="33">
        <f>C20*1000000/C13</f>
        <v>60.547516125932603</v>
      </c>
      <c r="D22" t="s">
        <v>30</v>
      </c>
    </row>
    <row r="23" spans="2:4" ht="15" thickBot="1" x14ac:dyDescent="0.35">
      <c r="B23" s="37" t="s">
        <v>59</v>
      </c>
      <c r="C23" s="38">
        <v>2</v>
      </c>
      <c r="D23" s="37" t="s">
        <v>30</v>
      </c>
    </row>
    <row r="24" spans="2:4" ht="15.6" thickTop="1" thickBot="1" x14ac:dyDescent="0.35">
      <c r="B24" s="39" t="s">
        <v>60</v>
      </c>
      <c r="C24" s="40">
        <f>SUM(C22:C23)</f>
        <v>62.547516125932603</v>
      </c>
      <c r="D24" s="39" t="s">
        <v>30</v>
      </c>
    </row>
    <row r="25" spans="2:4" ht="15" thickTop="1" x14ac:dyDescent="0.3"/>
  </sheetData>
  <mergeCells count="1">
    <mergeCell ref="B2:D2"/>
  </mergeCell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5"/>
  <sheetViews>
    <sheetView showGridLines="0" tabSelected="1" workbookViewId="0">
      <selection activeCell="C5" sqref="C5"/>
    </sheetView>
  </sheetViews>
  <sheetFormatPr baseColWidth="10" defaultRowHeight="14.4" x14ac:dyDescent="0.3"/>
  <cols>
    <col min="2" max="2" width="34.109375" customWidth="1"/>
    <col min="3" max="3" width="18.6640625" style="4" customWidth="1"/>
    <col min="4" max="4" width="21.33203125" customWidth="1"/>
  </cols>
  <sheetData>
    <row r="1" spans="2:5" ht="15" thickBot="1" x14ac:dyDescent="0.35"/>
    <row r="2" spans="2:5" ht="22.2" thickTop="1" thickBot="1" x14ac:dyDescent="0.35">
      <c r="B2" s="64" t="s">
        <v>61</v>
      </c>
      <c r="C2" s="64"/>
      <c r="D2" s="64"/>
    </row>
    <row r="3" spans="2:5" ht="15" thickTop="1" x14ac:dyDescent="0.3">
      <c r="B3" s="8"/>
      <c r="C3" s="32"/>
    </row>
    <row r="4" spans="2:5" x14ac:dyDescent="0.3">
      <c r="B4" t="s">
        <v>47</v>
      </c>
      <c r="C4" s="33">
        <f>'Termo CC'!D13</f>
        <v>136.80000000000001</v>
      </c>
      <c r="D4" t="s">
        <v>6</v>
      </c>
    </row>
    <row r="5" spans="2:5" x14ac:dyDescent="0.3">
      <c r="B5" t="s">
        <v>48</v>
      </c>
      <c r="C5" s="35">
        <v>1750</v>
      </c>
      <c r="D5" t="s">
        <v>49</v>
      </c>
      <c r="E5" s="63">
        <v>1.5564516129032258</v>
      </c>
    </row>
    <row r="6" spans="2:5" x14ac:dyDescent="0.3">
      <c r="B6" t="s">
        <v>50</v>
      </c>
      <c r="C6" s="33">
        <f>C5*C4/1000</f>
        <v>239.40000000000003</v>
      </c>
      <c r="D6" t="s">
        <v>51</v>
      </c>
      <c r="E6" s="36"/>
    </row>
    <row r="7" spans="2:5" x14ac:dyDescent="0.3">
      <c r="B7" s="8" t="s">
        <v>52</v>
      </c>
      <c r="C7" s="34"/>
    </row>
    <row r="8" spans="2:5" x14ac:dyDescent="0.3">
      <c r="B8" t="s">
        <v>3</v>
      </c>
      <c r="C8" s="7">
        <v>4.4999999999999998E-2</v>
      </c>
      <c r="D8" t="s">
        <v>4</v>
      </c>
    </row>
    <row r="9" spans="2:5" x14ac:dyDescent="0.3">
      <c r="B9" t="s">
        <v>53</v>
      </c>
      <c r="C9" s="4">
        <v>20</v>
      </c>
      <c r="D9" t="s">
        <v>19</v>
      </c>
    </row>
    <row r="12" spans="2:5" x14ac:dyDescent="0.3">
      <c r="B12" t="s">
        <v>33</v>
      </c>
      <c r="C12" s="4">
        <v>0.35</v>
      </c>
    </row>
    <row r="13" spans="2:5" x14ac:dyDescent="0.3">
      <c r="B13" t="s">
        <v>34</v>
      </c>
      <c r="C13" s="11">
        <f>C12*C4*8760</f>
        <v>419428.80000000005</v>
      </c>
      <c r="D13" t="s">
        <v>54</v>
      </c>
    </row>
    <row r="15" spans="2:5" x14ac:dyDescent="0.3">
      <c r="B15" t="s">
        <v>55</v>
      </c>
    </row>
    <row r="16" spans="2:5" x14ac:dyDescent="0.3">
      <c r="B16" t="s">
        <v>53</v>
      </c>
      <c r="C16" s="4">
        <v>20</v>
      </c>
      <c r="D16" t="s">
        <v>19</v>
      </c>
    </row>
    <row r="17" spans="2:4" x14ac:dyDescent="0.3">
      <c r="B17" t="s">
        <v>3</v>
      </c>
      <c r="C17" s="14">
        <v>0.1</v>
      </c>
      <c r="D17" t="s">
        <v>4</v>
      </c>
    </row>
    <row r="18" spans="2:4" x14ac:dyDescent="0.3">
      <c r="B18" t="s">
        <v>18</v>
      </c>
      <c r="C18" s="4">
        <v>20</v>
      </c>
      <c r="D18" t="s">
        <v>19</v>
      </c>
    </row>
    <row r="20" spans="2:4" x14ac:dyDescent="0.3">
      <c r="B20" t="s">
        <v>56</v>
      </c>
      <c r="C20" s="33">
        <f>PMT(C17,C16,-C6)</f>
        <v>28.119834170547467</v>
      </c>
      <c r="D20" t="s">
        <v>57</v>
      </c>
    </row>
    <row r="21" spans="2:4" x14ac:dyDescent="0.3">
      <c r="C21" s="10"/>
    </row>
    <row r="22" spans="2:4" x14ac:dyDescent="0.3">
      <c r="B22" t="s">
        <v>58</v>
      </c>
      <c r="C22" s="33">
        <f>C20*1000000/C13</f>
        <v>67.043164824512445</v>
      </c>
      <c r="D22" t="s">
        <v>30</v>
      </c>
    </row>
    <row r="23" spans="2:4" ht="15" thickBot="1" x14ac:dyDescent="0.35">
      <c r="B23" s="37" t="s">
        <v>59</v>
      </c>
      <c r="C23" s="38">
        <v>5</v>
      </c>
      <c r="D23" s="37" t="s">
        <v>30</v>
      </c>
    </row>
    <row r="24" spans="2:4" ht="15.6" thickTop="1" thickBot="1" x14ac:dyDescent="0.35">
      <c r="B24" s="39" t="s">
        <v>60</v>
      </c>
      <c r="C24" s="40">
        <f>SUM(C22:C23)</f>
        <v>72.043164824512445</v>
      </c>
      <c r="D24" s="39" t="s">
        <v>30</v>
      </c>
    </row>
    <row r="25" spans="2:4" ht="15" thickTop="1" x14ac:dyDescent="0.3"/>
  </sheetData>
  <mergeCells count="1">
    <mergeCell ref="B2:D2"/>
  </mergeCells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5"/>
  <sheetViews>
    <sheetView showGridLines="0" workbookViewId="0">
      <selection activeCell="C13" sqref="C13"/>
    </sheetView>
  </sheetViews>
  <sheetFormatPr baseColWidth="10" defaultRowHeight="14.4" x14ac:dyDescent="0.3"/>
  <cols>
    <col min="2" max="2" width="34.109375" customWidth="1"/>
    <col min="3" max="3" width="18.6640625" style="4" customWidth="1"/>
    <col min="4" max="4" width="21.33203125" customWidth="1"/>
  </cols>
  <sheetData>
    <row r="1" spans="2:5" ht="15" thickBot="1" x14ac:dyDescent="0.35"/>
    <row r="2" spans="2:5" ht="22.2" thickTop="1" thickBot="1" x14ac:dyDescent="0.35">
      <c r="B2" s="64" t="s">
        <v>62</v>
      </c>
      <c r="C2" s="64"/>
      <c r="D2" s="64"/>
    </row>
    <row r="3" spans="2:5" ht="15" thickTop="1" x14ac:dyDescent="0.3">
      <c r="B3" s="8"/>
      <c r="C3" s="32"/>
    </row>
    <row r="4" spans="2:5" x14ac:dyDescent="0.3">
      <c r="B4" t="s">
        <v>47</v>
      </c>
      <c r="C4" s="33">
        <f>'Termo CC'!D13</f>
        <v>136.80000000000001</v>
      </c>
      <c r="D4" t="s">
        <v>6</v>
      </c>
    </row>
    <row r="5" spans="2:5" x14ac:dyDescent="0.3">
      <c r="B5" t="s">
        <v>48</v>
      </c>
      <c r="C5" s="35">
        <v>1200</v>
      </c>
      <c r="D5" t="s">
        <v>49</v>
      </c>
      <c r="E5" s="62"/>
    </row>
    <row r="6" spans="2:5" x14ac:dyDescent="0.3">
      <c r="B6" t="s">
        <v>50</v>
      </c>
      <c r="C6" s="33">
        <f>C5*C4/1000</f>
        <v>164.16</v>
      </c>
      <c r="D6" t="s">
        <v>51</v>
      </c>
      <c r="E6" s="36"/>
    </row>
    <row r="7" spans="2:5" x14ac:dyDescent="0.3">
      <c r="B7" s="8" t="s">
        <v>52</v>
      </c>
      <c r="C7" s="34"/>
    </row>
    <row r="8" spans="2:5" x14ac:dyDescent="0.3">
      <c r="B8" t="s">
        <v>3</v>
      </c>
      <c r="C8" s="7">
        <v>4.4999999999999998E-2</v>
      </c>
      <c r="D8" t="s">
        <v>4</v>
      </c>
    </row>
    <row r="9" spans="2:5" x14ac:dyDescent="0.3">
      <c r="B9" t="s">
        <v>53</v>
      </c>
      <c r="C9" s="4">
        <v>20</v>
      </c>
      <c r="D9" t="s">
        <v>19</v>
      </c>
    </row>
    <row r="12" spans="2:5" x14ac:dyDescent="0.3">
      <c r="B12" t="s">
        <v>33</v>
      </c>
      <c r="C12" s="4">
        <v>0.24</v>
      </c>
    </row>
    <row r="13" spans="2:5" x14ac:dyDescent="0.3">
      <c r="B13" t="s">
        <v>34</v>
      </c>
      <c r="C13" s="11">
        <f>C12*C4*8760</f>
        <v>287608.32000000001</v>
      </c>
      <c r="D13" t="s">
        <v>54</v>
      </c>
    </row>
    <row r="15" spans="2:5" x14ac:dyDescent="0.3">
      <c r="B15" t="s">
        <v>55</v>
      </c>
    </row>
    <row r="16" spans="2:5" x14ac:dyDescent="0.3">
      <c r="B16" t="s">
        <v>53</v>
      </c>
      <c r="C16" s="4">
        <v>20</v>
      </c>
      <c r="D16" t="s">
        <v>19</v>
      </c>
    </row>
    <row r="17" spans="2:4" x14ac:dyDescent="0.3">
      <c r="B17" t="s">
        <v>3</v>
      </c>
      <c r="C17" s="14">
        <v>0.1</v>
      </c>
      <c r="D17" t="s">
        <v>4</v>
      </c>
    </row>
    <row r="18" spans="2:4" x14ac:dyDescent="0.3">
      <c r="B18" t="s">
        <v>18</v>
      </c>
      <c r="C18" s="4">
        <v>20</v>
      </c>
      <c r="D18" t="s">
        <v>19</v>
      </c>
    </row>
    <row r="20" spans="2:4" x14ac:dyDescent="0.3">
      <c r="B20" t="s">
        <v>56</v>
      </c>
      <c r="C20" s="33">
        <f>PMT(C17,C16,-C6)</f>
        <v>19.282172002661117</v>
      </c>
      <c r="D20" t="s">
        <v>57</v>
      </c>
    </row>
    <row r="21" spans="2:4" x14ac:dyDescent="0.3">
      <c r="C21" s="10"/>
    </row>
    <row r="22" spans="2:4" x14ac:dyDescent="0.3">
      <c r="B22" t="s">
        <v>58</v>
      </c>
      <c r="C22" s="33">
        <f>C20*1000000/C13</f>
        <v>67.043164824512431</v>
      </c>
      <c r="D22" t="s">
        <v>30</v>
      </c>
    </row>
    <row r="23" spans="2:4" ht="15" thickBot="1" x14ac:dyDescent="0.35">
      <c r="B23" s="37" t="s">
        <v>59</v>
      </c>
      <c r="C23" s="38">
        <v>5</v>
      </c>
      <c r="D23" s="37" t="s">
        <v>30</v>
      </c>
    </row>
    <row r="24" spans="2:4" ht="15.6" thickTop="1" thickBot="1" x14ac:dyDescent="0.35">
      <c r="B24" s="39" t="s">
        <v>60</v>
      </c>
      <c r="C24" s="40">
        <f>SUM(C22:C23)</f>
        <v>72.043164824512431</v>
      </c>
      <c r="D24" s="39" t="s">
        <v>30</v>
      </c>
    </row>
    <row r="25" spans="2:4" ht="15" thickTop="1" x14ac:dyDescent="0.3"/>
  </sheetData>
  <mergeCells count="1">
    <mergeCell ref="B2:D2"/>
  </mergeCells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5"/>
  <sheetViews>
    <sheetView showGridLines="0" workbookViewId="0">
      <selection activeCell="C13" sqref="C13"/>
    </sheetView>
  </sheetViews>
  <sheetFormatPr baseColWidth="10" defaultRowHeight="14.4" x14ac:dyDescent="0.3"/>
  <cols>
    <col min="2" max="2" width="34.109375" customWidth="1"/>
    <col min="3" max="3" width="18.6640625" style="4" customWidth="1"/>
    <col min="4" max="4" width="21.33203125" customWidth="1"/>
  </cols>
  <sheetData>
    <row r="1" spans="2:5" ht="15" thickBot="1" x14ac:dyDescent="0.35"/>
    <row r="2" spans="2:5" ht="22.2" thickTop="1" thickBot="1" x14ac:dyDescent="0.35">
      <c r="B2" s="64" t="s">
        <v>46</v>
      </c>
      <c r="C2" s="64"/>
      <c r="D2" s="64"/>
    </row>
    <row r="3" spans="2:5" ht="15" thickTop="1" x14ac:dyDescent="0.3">
      <c r="B3" s="8"/>
      <c r="C3" s="32"/>
    </row>
    <row r="4" spans="2:5" x14ac:dyDescent="0.3">
      <c r="B4" t="s">
        <v>47</v>
      </c>
      <c r="C4" s="33">
        <f>'Termo CC'!D13</f>
        <v>136.80000000000001</v>
      </c>
      <c r="D4" t="s">
        <v>6</v>
      </c>
    </row>
    <row r="5" spans="2:5" x14ac:dyDescent="0.3">
      <c r="B5" t="s">
        <v>48</v>
      </c>
      <c r="C5" s="35">
        <v>5500</v>
      </c>
      <c r="D5" t="s">
        <v>49</v>
      </c>
      <c r="E5" s="36"/>
    </row>
    <row r="6" spans="2:5" x14ac:dyDescent="0.3">
      <c r="B6" t="s">
        <v>50</v>
      </c>
      <c r="C6" s="33">
        <f>C5*C4/1000</f>
        <v>752.40000000000009</v>
      </c>
      <c r="D6" t="s">
        <v>51</v>
      </c>
      <c r="E6" s="36"/>
    </row>
    <row r="7" spans="2:5" x14ac:dyDescent="0.3">
      <c r="B7" s="8" t="s">
        <v>52</v>
      </c>
      <c r="C7" s="34"/>
    </row>
    <row r="8" spans="2:5" x14ac:dyDescent="0.3">
      <c r="B8" t="s">
        <v>3</v>
      </c>
      <c r="C8" s="7">
        <v>4.4999999999999998E-2</v>
      </c>
      <c r="D8" t="s">
        <v>4</v>
      </c>
    </row>
    <row r="9" spans="2:5" x14ac:dyDescent="0.3">
      <c r="B9" t="s">
        <v>53</v>
      </c>
      <c r="C9" s="4">
        <v>30</v>
      </c>
      <c r="D9" t="s">
        <v>19</v>
      </c>
    </row>
    <row r="12" spans="2:5" x14ac:dyDescent="0.3">
      <c r="B12" t="s">
        <v>33</v>
      </c>
      <c r="C12" s="4">
        <v>0.85</v>
      </c>
    </row>
    <row r="13" spans="2:5" x14ac:dyDescent="0.3">
      <c r="B13" t="s">
        <v>34</v>
      </c>
      <c r="C13" s="11">
        <f>C12*C4*8760</f>
        <v>1018612.8</v>
      </c>
      <c r="D13" t="s">
        <v>54</v>
      </c>
    </row>
    <row r="15" spans="2:5" x14ac:dyDescent="0.3">
      <c r="B15" t="s">
        <v>55</v>
      </c>
    </row>
    <row r="16" spans="2:5" x14ac:dyDescent="0.3">
      <c r="B16" t="s">
        <v>53</v>
      </c>
      <c r="C16" s="4">
        <v>30</v>
      </c>
      <c r="D16" t="s">
        <v>19</v>
      </c>
    </row>
    <row r="17" spans="2:4" x14ac:dyDescent="0.3">
      <c r="B17" t="s">
        <v>3</v>
      </c>
      <c r="C17" s="14">
        <v>0.1</v>
      </c>
      <c r="D17" t="s">
        <v>4</v>
      </c>
    </row>
    <row r="18" spans="2:4" x14ac:dyDescent="0.3">
      <c r="B18" t="s">
        <v>18</v>
      </c>
      <c r="C18" s="4">
        <v>50</v>
      </c>
      <c r="D18" t="s">
        <v>19</v>
      </c>
    </row>
    <row r="20" spans="2:4" x14ac:dyDescent="0.3">
      <c r="B20" t="s">
        <v>56</v>
      </c>
      <c r="C20" s="33">
        <f>PMT(C17,C16,-C6)</f>
        <v>79.814026385281778</v>
      </c>
      <c r="D20" t="s">
        <v>57</v>
      </c>
    </row>
    <row r="21" spans="2:4" x14ac:dyDescent="0.3">
      <c r="C21" s="10"/>
    </row>
    <row r="22" spans="2:4" x14ac:dyDescent="0.3">
      <c r="B22" t="s">
        <v>58</v>
      </c>
      <c r="C22" s="33">
        <f>C20*1000000/C13</f>
        <v>78.355609104148087</v>
      </c>
      <c r="D22" t="s">
        <v>30</v>
      </c>
    </row>
    <row r="23" spans="2:4" ht="15" thickBot="1" x14ac:dyDescent="0.35">
      <c r="B23" s="37" t="s">
        <v>59</v>
      </c>
      <c r="C23" s="38">
        <v>3</v>
      </c>
      <c r="D23" s="37" t="s">
        <v>30</v>
      </c>
    </row>
    <row r="24" spans="2:4" ht="15.6" thickTop="1" thickBot="1" x14ac:dyDescent="0.35">
      <c r="B24" s="39" t="s">
        <v>60</v>
      </c>
      <c r="C24" s="40">
        <f>SUM(C22:C23)</f>
        <v>81.355609104148087</v>
      </c>
      <c r="D24" s="39" t="s">
        <v>30</v>
      </c>
    </row>
    <row r="25" spans="2:4" ht="15" thickTop="1" x14ac:dyDescent="0.3"/>
  </sheetData>
  <mergeCells count="1">
    <mergeCell ref="B2:D2"/>
  </mergeCell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6"/>
  <sheetViews>
    <sheetView showGridLines="0" workbookViewId="0">
      <selection activeCell="C25" sqref="C25"/>
    </sheetView>
  </sheetViews>
  <sheetFormatPr baseColWidth="10" defaultRowHeight="14.4" x14ac:dyDescent="0.3"/>
  <cols>
    <col min="2" max="2" width="34.109375" customWidth="1"/>
    <col min="3" max="3" width="18.6640625" style="4" customWidth="1"/>
    <col min="4" max="4" width="21.33203125" customWidth="1"/>
  </cols>
  <sheetData>
    <row r="1" spans="2:6" ht="15" thickBot="1" x14ac:dyDescent="0.35"/>
    <row r="2" spans="2:6" ht="22.2" thickTop="1" thickBot="1" x14ac:dyDescent="0.35">
      <c r="B2" s="64" t="s">
        <v>46</v>
      </c>
      <c r="C2" s="64"/>
      <c r="D2" s="64"/>
    </row>
    <row r="3" spans="2:6" ht="15" thickTop="1" x14ac:dyDescent="0.3">
      <c r="B3" s="8"/>
      <c r="C3" s="32"/>
    </row>
    <row r="4" spans="2:6" x14ac:dyDescent="0.3">
      <c r="B4" t="s">
        <v>47</v>
      </c>
      <c r="C4" s="33">
        <v>20</v>
      </c>
      <c r="D4" t="s">
        <v>6</v>
      </c>
    </row>
    <row r="5" spans="2:6" x14ac:dyDescent="0.3">
      <c r="B5" t="s">
        <v>48</v>
      </c>
      <c r="C5" s="35">
        <v>4000</v>
      </c>
      <c r="D5" t="s">
        <v>49</v>
      </c>
      <c r="E5" s="36"/>
    </row>
    <row r="6" spans="2:6" x14ac:dyDescent="0.3">
      <c r="B6" t="s">
        <v>50</v>
      </c>
      <c r="C6" s="33">
        <f>+C5*C4/1000</f>
        <v>80</v>
      </c>
      <c r="D6" t="s">
        <v>51</v>
      </c>
      <c r="E6" s="36"/>
    </row>
    <row r="7" spans="2:6" x14ac:dyDescent="0.3">
      <c r="B7" s="8" t="s">
        <v>52</v>
      </c>
      <c r="C7" s="34"/>
      <c r="F7">
        <v>28.449356830943994</v>
      </c>
    </row>
    <row r="8" spans="2:6" x14ac:dyDescent="0.3">
      <c r="B8" t="s">
        <v>3</v>
      </c>
      <c r="C8" s="7">
        <v>4.4999999999999998E-2</v>
      </c>
      <c r="D8" t="s">
        <v>4</v>
      </c>
    </row>
    <row r="9" spans="2:6" x14ac:dyDescent="0.3">
      <c r="B9" t="s">
        <v>53</v>
      </c>
      <c r="C9" s="4">
        <v>30</v>
      </c>
      <c r="D9" t="s">
        <v>19</v>
      </c>
    </row>
    <row r="12" spans="2:6" x14ac:dyDescent="0.3">
      <c r="B12" t="s">
        <v>33</v>
      </c>
      <c r="C12" s="4">
        <v>0.85</v>
      </c>
    </row>
    <row r="13" spans="2:6" x14ac:dyDescent="0.3">
      <c r="B13" t="s">
        <v>34</v>
      </c>
      <c r="C13" s="11">
        <f>C12*C4*8760</f>
        <v>148920</v>
      </c>
      <c r="D13" t="s">
        <v>54</v>
      </c>
    </row>
    <row r="15" spans="2:6" x14ac:dyDescent="0.3">
      <c r="B15" t="s">
        <v>55</v>
      </c>
    </row>
    <row r="16" spans="2:6" x14ac:dyDescent="0.3">
      <c r="B16" t="s">
        <v>53</v>
      </c>
      <c r="C16" s="4">
        <v>30</v>
      </c>
      <c r="D16" t="s">
        <v>19</v>
      </c>
    </row>
    <row r="17" spans="2:4" x14ac:dyDescent="0.3">
      <c r="B17" t="s">
        <v>3</v>
      </c>
      <c r="C17" s="14">
        <v>0.1</v>
      </c>
      <c r="D17" t="s">
        <v>4</v>
      </c>
    </row>
    <row r="18" spans="2:4" x14ac:dyDescent="0.3">
      <c r="B18" t="s">
        <v>18</v>
      </c>
      <c r="C18" s="4">
        <v>30</v>
      </c>
      <c r="D18" t="s">
        <v>19</v>
      </c>
    </row>
    <row r="20" spans="2:4" x14ac:dyDescent="0.3">
      <c r="B20" t="s">
        <v>56</v>
      </c>
      <c r="C20" s="33">
        <f>PMT(C17,C16,-C6)</f>
        <v>8.4863398602107143</v>
      </c>
      <c r="D20" t="s">
        <v>57</v>
      </c>
    </row>
    <row r="21" spans="2:4" x14ac:dyDescent="0.3">
      <c r="C21" s="10"/>
    </row>
    <row r="22" spans="2:4" x14ac:dyDescent="0.3">
      <c r="B22" t="s">
        <v>58</v>
      </c>
      <c r="C22" s="33">
        <f>C20*1000000/C13</f>
        <v>56.98589753028952</v>
      </c>
      <c r="D22" t="s">
        <v>30</v>
      </c>
    </row>
    <row r="23" spans="2:4" x14ac:dyDescent="0.3">
      <c r="B23" t="s">
        <v>84</v>
      </c>
      <c r="C23" s="33">
        <f>+F7</f>
        <v>28.449356830943994</v>
      </c>
      <c r="D23" t="s">
        <v>30</v>
      </c>
    </row>
    <row r="24" spans="2:4" ht="15" thickBot="1" x14ac:dyDescent="0.35">
      <c r="B24" s="37" t="s">
        <v>59</v>
      </c>
      <c r="C24" s="38">
        <v>3</v>
      </c>
      <c r="D24" s="37" t="s">
        <v>30</v>
      </c>
    </row>
    <row r="25" spans="2:4" ht="15.6" thickTop="1" thickBot="1" x14ac:dyDescent="0.35">
      <c r="B25" s="39" t="s">
        <v>60</v>
      </c>
      <c r="C25" s="40">
        <f>SUM(C22:C24)</f>
        <v>88.435254361233518</v>
      </c>
      <c r="D25" s="39" t="s">
        <v>30</v>
      </c>
    </row>
    <row r="26" spans="2:4" ht="15" thickTop="1" x14ac:dyDescent="0.3"/>
  </sheetData>
  <mergeCells count="1">
    <mergeCell ref="B2:D2"/>
  </mergeCells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B3:X19"/>
  <sheetViews>
    <sheetView topLeftCell="F1" workbookViewId="0">
      <selection activeCell="I16" sqref="I16"/>
    </sheetView>
  </sheetViews>
  <sheetFormatPr baseColWidth="10" defaultRowHeight="14.4" x14ac:dyDescent="0.3"/>
  <cols>
    <col min="1" max="1" width="3.77734375" customWidth="1"/>
    <col min="3" max="3" width="23.21875" customWidth="1"/>
    <col min="4" max="4" width="14.77734375" customWidth="1"/>
    <col min="5" max="5" width="7" customWidth="1"/>
    <col min="6" max="6" width="11.33203125" customWidth="1"/>
    <col min="7" max="7" width="12.77734375" customWidth="1"/>
    <col min="8" max="8" width="14.77734375" customWidth="1"/>
    <col min="9" max="11" width="11.33203125" customWidth="1"/>
  </cols>
  <sheetData>
    <row r="3" spans="2:24" ht="15" thickBot="1" x14ac:dyDescent="0.35">
      <c r="C3" s="8" t="s">
        <v>64</v>
      </c>
    </row>
    <row r="4" spans="2:24" ht="43.2" customHeight="1" thickBot="1" x14ac:dyDescent="0.35">
      <c r="C4" s="65" t="s">
        <v>73</v>
      </c>
      <c r="D4" s="66"/>
      <c r="E4" s="50"/>
      <c r="F4" s="52" t="s">
        <v>68</v>
      </c>
      <c r="G4" s="52" t="s">
        <v>69</v>
      </c>
      <c r="H4" s="52" t="s">
        <v>74</v>
      </c>
      <c r="I4" s="51" t="s">
        <v>75</v>
      </c>
      <c r="J4" s="61" t="s">
        <v>70</v>
      </c>
      <c r="K4" s="48" t="s">
        <v>82</v>
      </c>
      <c r="L4" s="48" t="s">
        <v>83</v>
      </c>
      <c r="S4" s="41" t="s">
        <v>72</v>
      </c>
      <c r="T4" s="42" t="s">
        <v>68</v>
      </c>
      <c r="U4" s="42" t="s">
        <v>69</v>
      </c>
      <c r="V4" s="41" t="s">
        <v>74</v>
      </c>
      <c r="W4" s="43" t="s">
        <v>75</v>
      </c>
      <c r="X4" s="42" t="s">
        <v>70</v>
      </c>
    </row>
    <row r="5" spans="2:24" ht="31.2" x14ac:dyDescent="0.3">
      <c r="C5" s="54" t="s">
        <v>80</v>
      </c>
      <c r="D5" s="54" t="s">
        <v>81</v>
      </c>
      <c r="E5" s="55"/>
      <c r="F5" s="58">
        <f>+'Termo CS'!D19</f>
        <v>665.21276595744678</v>
      </c>
      <c r="G5" s="58">
        <f>+'Termo CC'!D21</f>
        <v>1807.4999999999998</v>
      </c>
      <c r="H5" s="58">
        <f>+Hidro!C5</f>
        <v>2500</v>
      </c>
      <c r="I5" s="59">
        <f>+Eolica!C5</f>
        <v>1750</v>
      </c>
      <c r="J5" s="60">
        <f>+Solar!C5</f>
        <v>1200</v>
      </c>
      <c r="K5" s="60">
        <f>+Geotermico!C5</f>
        <v>5500</v>
      </c>
      <c r="L5" s="60">
        <f>+Biomasa!C5</f>
        <v>4000</v>
      </c>
      <c r="S5" s="41"/>
      <c r="T5" s="42"/>
      <c r="U5" s="42"/>
      <c r="V5" s="41"/>
      <c r="W5" s="43"/>
      <c r="X5" s="42"/>
    </row>
    <row r="6" spans="2:24" ht="15.6" x14ac:dyDescent="0.3">
      <c r="C6" s="54"/>
      <c r="D6" s="54"/>
      <c r="E6" s="55"/>
      <c r="F6" s="54"/>
      <c r="G6" s="54"/>
      <c r="H6" s="54"/>
      <c r="I6" s="56"/>
      <c r="J6" s="57"/>
      <c r="K6" s="57"/>
      <c r="L6" s="57"/>
      <c r="S6" s="41"/>
      <c r="T6" s="42"/>
      <c r="U6" s="42"/>
      <c r="V6" s="41"/>
      <c r="W6" s="43"/>
      <c r="X6" s="42"/>
    </row>
    <row r="7" spans="2:24" ht="15.6" x14ac:dyDescent="0.3">
      <c r="C7" s="54"/>
      <c r="D7" s="54"/>
      <c r="E7" s="55"/>
      <c r="F7" s="54"/>
      <c r="G7" s="54"/>
      <c r="H7" s="54"/>
      <c r="I7" s="56"/>
      <c r="J7" s="57"/>
      <c r="K7" s="57"/>
      <c r="L7" s="57"/>
      <c r="S7" s="41"/>
      <c r="T7" s="42"/>
      <c r="U7" s="42"/>
      <c r="V7" s="41"/>
      <c r="W7" s="43"/>
      <c r="X7" s="42"/>
    </row>
    <row r="8" spans="2:24" x14ac:dyDescent="0.3">
      <c r="C8" t="s">
        <v>33</v>
      </c>
      <c r="F8" s="49">
        <f>+'Termo CS'!D34</f>
        <v>0.56999999999999995</v>
      </c>
      <c r="G8" s="49">
        <f>+'Termo CC'!D36</f>
        <v>0.7</v>
      </c>
      <c r="H8" s="49">
        <f>+Hidro!C12</f>
        <v>0.5</v>
      </c>
      <c r="I8" s="49">
        <f>+Eolica!C12</f>
        <v>0.35</v>
      </c>
      <c r="J8" s="49">
        <f>+Solar!C12</f>
        <v>0.24</v>
      </c>
      <c r="K8" s="49">
        <f>+Geotermico!C12</f>
        <v>0.85</v>
      </c>
      <c r="L8" s="49">
        <f>+Biomasa!C12</f>
        <v>0.85</v>
      </c>
      <c r="Q8">
        <v>1</v>
      </c>
      <c r="R8" s="44">
        <v>1.3</v>
      </c>
      <c r="S8">
        <f>R8*0.87</f>
        <v>1.131</v>
      </c>
      <c r="T8" s="47">
        <v>32.915706445404012</v>
      </c>
      <c r="U8" s="47">
        <v>40.430716502099102</v>
      </c>
      <c r="V8" s="47">
        <f>+H16</f>
        <v>62.547516125932603</v>
      </c>
      <c r="W8" s="47">
        <f>+I16</f>
        <v>72.043164824512445</v>
      </c>
      <c r="X8" s="47">
        <f>+J16</f>
        <v>72.043164824512431</v>
      </c>
    </row>
    <row r="9" spans="2:24" x14ac:dyDescent="0.3">
      <c r="C9" t="s">
        <v>76</v>
      </c>
      <c r="D9" t="s">
        <v>35</v>
      </c>
      <c r="F9" s="29">
        <f>+'Termo CS'!D35</f>
        <v>445892.75999999995</v>
      </c>
      <c r="G9" s="29">
        <f>+'Termo CC'!D37</f>
        <v>838857.60000000009</v>
      </c>
      <c r="H9" s="29">
        <f>+Hidro!C13</f>
        <v>599184</v>
      </c>
      <c r="I9" s="29">
        <f>+Eolica!C13</f>
        <v>419428.80000000005</v>
      </c>
      <c r="J9" s="29">
        <f>+Solar!C13</f>
        <v>287608.32000000001</v>
      </c>
      <c r="K9" s="29">
        <f>+Geotermico!C13</f>
        <v>1018612.8</v>
      </c>
      <c r="L9" s="29">
        <f>+Biomasa!C13</f>
        <v>148920</v>
      </c>
      <c r="Q9">
        <f>+Q8+1</f>
        <v>2</v>
      </c>
      <c r="R9" s="44">
        <v>2</v>
      </c>
      <c r="S9">
        <f t="shared" ref="S9:S10" si="0">R9*0.87</f>
        <v>1.74</v>
      </c>
      <c r="T9" s="47">
        <v>39.386331445404011</v>
      </c>
      <c r="U9" s="47">
        <v>44.628849684578498</v>
      </c>
      <c r="V9" s="47">
        <f>+V8</f>
        <v>62.547516125932603</v>
      </c>
      <c r="W9" s="47">
        <f>+W8</f>
        <v>72.043164824512445</v>
      </c>
      <c r="X9" s="47">
        <f>+X8</f>
        <v>72.043164824512431</v>
      </c>
    </row>
    <row r="10" spans="2:24" x14ac:dyDescent="0.3">
      <c r="C10" t="s">
        <v>65</v>
      </c>
      <c r="D10" t="s">
        <v>66</v>
      </c>
      <c r="F10" s="29">
        <f>+'Termo CS'!D36</f>
        <v>4737610.5749999993</v>
      </c>
      <c r="G10" s="29">
        <f>+'Termo CC'!D38</f>
        <v>5782653.4087603046</v>
      </c>
      <c r="H10" s="29"/>
      <c r="I10" s="29"/>
      <c r="J10" s="29"/>
      <c r="K10" s="29"/>
      <c r="L10" s="29"/>
      <c r="Q10">
        <f t="shared" ref="Q10" si="1">+Q9+1</f>
        <v>3</v>
      </c>
      <c r="R10" s="44">
        <f>R9+1</f>
        <v>3</v>
      </c>
      <c r="S10">
        <f t="shared" si="0"/>
        <v>2.61</v>
      </c>
      <c r="T10" s="47">
        <v>48.630081445404002</v>
      </c>
      <c r="U10" s="47">
        <v>50.626182802406198</v>
      </c>
      <c r="V10" s="47">
        <f t="shared" ref="V10:V18" si="2">+V9</f>
        <v>62.547516125932603</v>
      </c>
      <c r="W10" s="47">
        <f t="shared" ref="W10:W18" si="3">+W9</f>
        <v>72.043164824512445</v>
      </c>
      <c r="X10" s="47">
        <f t="shared" ref="X10:X18" si="4">+X9</f>
        <v>72.043164824512431</v>
      </c>
    </row>
    <row r="11" spans="2:24" x14ac:dyDescent="0.3">
      <c r="B11" t="s">
        <v>78</v>
      </c>
      <c r="F11" s="29"/>
      <c r="G11" s="29"/>
      <c r="H11" s="29"/>
      <c r="I11" s="29"/>
      <c r="J11" s="29"/>
      <c r="K11" s="29"/>
      <c r="L11" s="29"/>
      <c r="Q11">
        <f>+Q10+1</f>
        <v>4</v>
      </c>
      <c r="R11" s="44">
        <f t="shared" ref="R11:R15" si="5">R10+1</f>
        <v>4</v>
      </c>
      <c r="S11">
        <f>R11*0.87</f>
        <v>3.48</v>
      </c>
      <c r="T11" s="47">
        <v>57.873831445404008</v>
      </c>
      <c r="U11" s="47">
        <v>56.623515920233899</v>
      </c>
      <c r="V11" s="47">
        <f t="shared" si="2"/>
        <v>62.547516125932603</v>
      </c>
      <c r="W11" s="47">
        <f t="shared" si="3"/>
        <v>72.043164824512445</v>
      </c>
      <c r="X11" s="47">
        <f t="shared" si="4"/>
        <v>72.043164824512431</v>
      </c>
    </row>
    <row r="12" spans="2:24" x14ac:dyDescent="0.3">
      <c r="B12">
        <v>7</v>
      </c>
      <c r="C12" t="s">
        <v>63</v>
      </c>
      <c r="D12" t="s">
        <v>67</v>
      </c>
      <c r="E12">
        <f>VLOOKUP(B12,$Q$8:$S$18,3,0)</f>
        <v>6.09</v>
      </c>
      <c r="Q12">
        <f>+Q11+1</f>
        <v>5</v>
      </c>
      <c r="R12" s="44">
        <f t="shared" si="5"/>
        <v>5</v>
      </c>
      <c r="S12">
        <f>R12*0.87</f>
        <v>4.3499999999999996</v>
      </c>
      <c r="T12" s="47">
        <v>67.117581445403999</v>
      </c>
      <c r="U12" s="47">
        <v>62.620849038061593</v>
      </c>
      <c r="V12" s="47">
        <f t="shared" si="2"/>
        <v>62.547516125932603</v>
      </c>
      <c r="W12" s="47">
        <f t="shared" si="3"/>
        <v>72.043164824512445</v>
      </c>
      <c r="X12" s="47">
        <f t="shared" si="4"/>
        <v>72.043164824512431</v>
      </c>
    </row>
    <row r="13" spans="2:24" x14ac:dyDescent="0.3">
      <c r="Q13">
        <f>+Q12+1</f>
        <v>6</v>
      </c>
      <c r="R13" s="44">
        <f t="shared" si="5"/>
        <v>6</v>
      </c>
      <c r="S13">
        <f>R13*0.87</f>
        <v>5.22</v>
      </c>
      <c r="T13" s="47">
        <v>76.361331445404005</v>
      </c>
      <c r="U13" s="47">
        <v>68.618182155889301</v>
      </c>
      <c r="V13" s="47">
        <f t="shared" si="2"/>
        <v>62.547516125932603</v>
      </c>
      <c r="W13" s="47">
        <f t="shared" si="3"/>
        <v>72.043164824512445</v>
      </c>
      <c r="X13" s="47">
        <f t="shared" si="4"/>
        <v>72.043164824512431</v>
      </c>
    </row>
    <row r="14" spans="2:24" x14ac:dyDescent="0.3">
      <c r="C14" t="s">
        <v>55</v>
      </c>
      <c r="D14" t="s">
        <v>30</v>
      </c>
      <c r="F14" s="45">
        <f>+'Termo CS'!D40</f>
        <v>17.835831445404008</v>
      </c>
      <c r="G14" s="45">
        <f>+'Termo CC'!D42</f>
        <v>39.462800867854966</v>
      </c>
      <c r="H14" s="45">
        <f>+Hidro!C22</f>
        <v>60.547516125932603</v>
      </c>
      <c r="I14" s="45">
        <f>+Eolica!C22</f>
        <v>67.043164824512445</v>
      </c>
      <c r="J14" s="45">
        <f>+Solar!C22</f>
        <v>67.043164824512431</v>
      </c>
      <c r="K14" s="45">
        <f>+Geotermico!C22</f>
        <v>78.355609104148087</v>
      </c>
      <c r="L14" s="45">
        <f>+Biomasa!C22</f>
        <v>56.98589753028952</v>
      </c>
      <c r="Q14">
        <f>+Q13+1</f>
        <v>7</v>
      </c>
      <c r="R14" s="44">
        <f t="shared" si="5"/>
        <v>7</v>
      </c>
      <c r="S14">
        <f>R14*0.87</f>
        <v>6.09</v>
      </c>
      <c r="T14" s="47">
        <v>85.605081445404011</v>
      </c>
      <c r="U14" s="47">
        <v>74.615515273717008</v>
      </c>
      <c r="V14" s="47">
        <f t="shared" si="2"/>
        <v>62.547516125932603</v>
      </c>
      <c r="W14" s="47">
        <f t="shared" si="3"/>
        <v>72.043164824512445</v>
      </c>
      <c r="X14" s="47">
        <f t="shared" si="4"/>
        <v>72.043164824512431</v>
      </c>
    </row>
    <row r="15" spans="2:24" x14ac:dyDescent="0.3">
      <c r="C15" t="s">
        <v>77</v>
      </c>
      <c r="D15" t="s">
        <v>30</v>
      </c>
      <c r="F15" s="45">
        <f>+'Termo CS'!D41</f>
        <v>67.76925</v>
      </c>
      <c r="G15" s="45">
        <f>+'Termo CC'!D43</f>
        <v>44.912331824793917</v>
      </c>
      <c r="H15" s="45">
        <f>+Hidro!C23</f>
        <v>2</v>
      </c>
      <c r="I15" s="45">
        <f>+Eolica!C23</f>
        <v>5</v>
      </c>
      <c r="J15" s="45">
        <f>+Solar!C23</f>
        <v>5</v>
      </c>
      <c r="K15" s="45">
        <f>+Geotermico!C23</f>
        <v>3</v>
      </c>
      <c r="L15" s="45">
        <f>+Biomasa!C23+Biomasa!C24</f>
        <v>31.449356830943994</v>
      </c>
      <c r="Q15">
        <f>+Q14+1</f>
        <v>8</v>
      </c>
      <c r="R15" s="44">
        <f t="shared" si="5"/>
        <v>8</v>
      </c>
      <c r="S15">
        <f>R15*0.87</f>
        <v>6.96</v>
      </c>
      <c r="T15" s="47">
        <v>94.848831445404016</v>
      </c>
      <c r="U15" s="47">
        <v>80.612848391544702</v>
      </c>
      <c r="V15" s="47">
        <f t="shared" si="2"/>
        <v>62.547516125932603</v>
      </c>
      <c r="W15" s="47">
        <f t="shared" si="3"/>
        <v>72.043164824512445</v>
      </c>
      <c r="X15" s="47">
        <f t="shared" si="4"/>
        <v>72.043164824512431</v>
      </c>
    </row>
    <row r="16" spans="2:24" x14ac:dyDescent="0.3">
      <c r="C16" t="s">
        <v>79</v>
      </c>
      <c r="D16" t="s">
        <v>30</v>
      </c>
      <c r="F16" s="45">
        <f>SUM(F14:F15)</f>
        <v>85.605081445404011</v>
      </c>
      <c r="G16" s="45">
        <f t="shared" ref="G16" si="6">SUM(G14:G15)</f>
        <v>84.37513269264889</v>
      </c>
      <c r="H16" s="45">
        <f t="shared" ref="H16" si="7">SUM(H14:H15)</f>
        <v>62.547516125932603</v>
      </c>
      <c r="I16" s="45">
        <f t="shared" ref="I16" si="8">SUM(I14:I15)</f>
        <v>72.043164824512445</v>
      </c>
      <c r="J16" s="45">
        <f t="shared" ref="J16:L16" si="9">SUM(J14:J15)</f>
        <v>72.043164824512431</v>
      </c>
      <c r="K16" s="45">
        <f t="shared" si="9"/>
        <v>81.355609104148087</v>
      </c>
      <c r="L16" s="45">
        <f t="shared" si="9"/>
        <v>88.435254361233518</v>
      </c>
      <c r="Q16">
        <f t="shared" ref="Q16:Q18" si="10">+Q15+1</f>
        <v>9</v>
      </c>
      <c r="R16" s="44">
        <f t="shared" ref="R16:R18" si="11">R15+1</f>
        <v>9</v>
      </c>
      <c r="S16">
        <f t="shared" ref="S16:S18" si="12">R16*0.87</f>
        <v>7.83</v>
      </c>
      <c r="T16" s="47">
        <v>104.09258144540401</v>
      </c>
      <c r="U16" s="47">
        <v>86.61018150937241</v>
      </c>
      <c r="V16" s="47">
        <f t="shared" si="2"/>
        <v>62.547516125932603</v>
      </c>
      <c r="W16" s="47">
        <f t="shared" si="3"/>
        <v>72.043164824512445</v>
      </c>
      <c r="X16" s="47">
        <f t="shared" si="4"/>
        <v>72.043164824512431</v>
      </c>
    </row>
    <row r="17" spans="6:24" x14ac:dyDescent="0.3">
      <c r="Q17">
        <f t="shared" si="10"/>
        <v>10</v>
      </c>
      <c r="R17" s="44">
        <f t="shared" si="11"/>
        <v>10</v>
      </c>
      <c r="S17">
        <f t="shared" si="12"/>
        <v>8.6999999999999993</v>
      </c>
      <c r="T17" s="47">
        <v>113.336331445404</v>
      </c>
      <c r="U17" s="47">
        <v>92.607514627200104</v>
      </c>
      <c r="V17" s="47">
        <f t="shared" si="2"/>
        <v>62.547516125932603</v>
      </c>
      <c r="W17" s="47">
        <f t="shared" si="3"/>
        <v>72.043164824512445</v>
      </c>
      <c r="X17" s="47">
        <f t="shared" si="4"/>
        <v>72.043164824512431</v>
      </c>
    </row>
    <row r="18" spans="6:24" x14ac:dyDescent="0.3">
      <c r="Q18">
        <f t="shared" si="10"/>
        <v>11</v>
      </c>
      <c r="R18" s="44">
        <f t="shared" si="11"/>
        <v>11</v>
      </c>
      <c r="S18">
        <f t="shared" si="12"/>
        <v>9.57</v>
      </c>
      <c r="T18" s="47">
        <v>122.58008144540402</v>
      </c>
      <c r="U18" s="47">
        <v>98.604847745027811</v>
      </c>
      <c r="V18" s="47">
        <f t="shared" si="2"/>
        <v>62.547516125932603</v>
      </c>
      <c r="W18" s="47">
        <f t="shared" si="3"/>
        <v>72.043164824512445</v>
      </c>
      <c r="X18" s="47">
        <f t="shared" si="4"/>
        <v>72.043164824512431</v>
      </c>
    </row>
    <row r="19" spans="6:24" x14ac:dyDescent="0.3">
      <c r="F19" s="53"/>
      <c r="G19" s="53"/>
    </row>
  </sheetData>
  <mergeCells count="1">
    <mergeCell ref="C4:D4"/>
  </mergeCells>
  <pageMargins left="0.7" right="0.7" top="0.75" bottom="0.75" header="0.3" footer="0.3"/>
  <pageSetup orientation="portrait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defaultSize="0" autoLine="0" autoPict="0">
                <anchor moveWithCells="1">
                  <from>
                    <xdr:col>0</xdr:col>
                    <xdr:colOff>708660</xdr:colOff>
                    <xdr:row>11</xdr:row>
                    <xdr:rowOff>0</xdr:rowOff>
                  </from>
                  <to>
                    <xdr:col>2</xdr:col>
                    <xdr:colOff>22860</xdr:colOff>
                    <xdr:row>12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49"/>
  <sheetViews>
    <sheetView showGridLines="0" topLeftCell="A28" workbookViewId="0">
      <selection activeCell="G21" sqref="G21"/>
    </sheetView>
  </sheetViews>
  <sheetFormatPr baseColWidth="10" defaultRowHeight="14.4" x14ac:dyDescent="0.3"/>
  <cols>
    <col min="3" max="3" width="38.6640625" customWidth="1"/>
    <col min="4" max="4" width="13.109375" style="4" bestFit="1" customWidth="1"/>
    <col min="5" max="5" width="16.44140625" bestFit="1" customWidth="1"/>
  </cols>
  <sheetData>
    <row r="3" spans="3:9" x14ac:dyDescent="0.3">
      <c r="C3" s="1" t="s">
        <v>45</v>
      </c>
      <c r="D3" s="2"/>
      <c r="E3" s="3"/>
      <c r="G3" t="s">
        <v>1</v>
      </c>
    </row>
    <row r="5" spans="3:9" x14ac:dyDescent="0.3">
      <c r="C5" t="s">
        <v>2</v>
      </c>
      <c r="D5" s="4" t="s">
        <v>41</v>
      </c>
      <c r="G5" t="s">
        <v>3</v>
      </c>
      <c r="H5" s="5">
        <v>4.4999999999999998E-2</v>
      </c>
      <c r="I5" t="s">
        <v>4</v>
      </c>
    </row>
    <row r="6" spans="3:9" x14ac:dyDescent="0.3">
      <c r="C6" t="s">
        <v>5</v>
      </c>
      <c r="D6" s="6">
        <f>+D7+D8</f>
        <v>47.5</v>
      </c>
      <c r="E6" t="s">
        <v>6</v>
      </c>
    </row>
    <row r="7" spans="3:9" x14ac:dyDescent="0.3">
      <c r="C7" t="s">
        <v>7</v>
      </c>
      <c r="D7" s="6"/>
      <c r="E7" t="s">
        <v>6</v>
      </c>
    </row>
    <row r="8" spans="3:9" x14ac:dyDescent="0.3">
      <c r="C8" t="s">
        <v>8</v>
      </c>
      <c r="D8" s="6">
        <v>47.5</v>
      </c>
      <c r="E8" t="s">
        <v>6</v>
      </c>
    </row>
    <row r="9" spans="3:9" x14ac:dyDescent="0.3">
      <c r="C9" t="s">
        <v>9</v>
      </c>
      <c r="D9" s="4">
        <f>'Termo CC'!D9-'Termo CS'!D9</f>
        <v>626</v>
      </c>
      <c r="E9" t="s">
        <v>44</v>
      </c>
    </row>
    <row r="10" spans="3:9" ht="14.25" customHeight="1" x14ac:dyDescent="0.3">
      <c r="C10" t="s">
        <v>10</v>
      </c>
      <c r="D10" s="7">
        <v>0</v>
      </c>
    </row>
    <row r="11" spans="3:9" ht="14.25" customHeight="1" x14ac:dyDescent="0.3">
      <c r="D11" s="7"/>
    </row>
    <row r="12" spans="3:9" ht="14.25" customHeight="1" x14ac:dyDescent="0.3">
      <c r="D12" s="7"/>
    </row>
    <row r="13" spans="3:9" x14ac:dyDescent="0.3">
      <c r="C13" t="s">
        <v>11</v>
      </c>
      <c r="D13" s="6">
        <f>+D14+D15</f>
        <v>38.479999999999997</v>
      </c>
      <c r="E13" t="s">
        <v>6</v>
      </c>
    </row>
    <row r="14" spans="3:9" x14ac:dyDescent="0.3">
      <c r="C14" t="s">
        <v>7</v>
      </c>
      <c r="D14" s="6">
        <f>D7*0.87</f>
        <v>0</v>
      </c>
      <c r="E14" t="s">
        <v>6</v>
      </c>
    </row>
    <row r="15" spans="3:9" x14ac:dyDescent="0.3">
      <c r="C15" t="s">
        <v>8</v>
      </c>
      <c r="D15" s="6">
        <v>38.479999999999997</v>
      </c>
      <c r="E15" t="s">
        <v>6</v>
      </c>
    </row>
    <row r="17" spans="3:5" x14ac:dyDescent="0.3">
      <c r="C17" s="8" t="s">
        <v>12</v>
      </c>
      <c r="D17" s="9"/>
    </row>
    <row r="18" spans="3:5" x14ac:dyDescent="0.3">
      <c r="C18" t="s">
        <v>9</v>
      </c>
      <c r="D18" s="10">
        <f>D9*D6</f>
        <v>29735</v>
      </c>
      <c r="E18" t="s">
        <v>13</v>
      </c>
    </row>
    <row r="19" spans="3:5" x14ac:dyDescent="0.3">
      <c r="C19" t="s">
        <v>14</v>
      </c>
      <c r="D19" s="11">
        <f>D18*0.887</f>
        <v>26374.945</v>
      </c>
      <c r="E19" t="s">
        <v>13</v>
      </c>
    </row>
    <row r="20" spans="3:5" ht="15" thickBot="1" x14ac:dyDescent="0.35">
      <c r="C20" s="12" t="s">
        <v>15</v>
      </c>
      <c r="D20" s="13">
        <f>SUM(D18:D19)</f>
        <v>56109.945</v>
      </c>
      <c r="E20" s="12" t="s">
        <v>13</v>
      </c>
    </row>
    <row r="21" spans="3:5" ht="15.6" thickTop="1" thickBot="1" x14ac:dyDescent="0.35">
      <c r="C21" s="27" t="s">
        <v>42</v>
      </c>
      <c r="D21" s="30">
        <f>D20/D13</f>
        <v>1458.158653846154</v>
      </c>
      <c r="E21" s="27"/>
    </row>
    <row r="22" spans="3:5" ht="15" thickTop="1" x14ac:dyDescent="0.3"/>
    <row r="23" spans="3:5" x14ac:dyDescent="0.3">
      <c r="C23" s="1" t="s">
        <v>16</v>
      </c>
      <c r="D23" s="2"/>
      <c r="E23" s="3"/>
    </row>
    <row r="24" spans="3:5" x14ac:dyDescent="0.3">
      <c r="C24" t="s">
        <v>17</v>
      </c>
      <c r="D24" s="14">
        <v>0.12</v>
      </c>
      <c r="E24" t="s">
        <v>4</v>
      </c>
    </row>
    <row r="25" spans="3:5" x14ac:dyDescent="0.3">
      <c r="C25" t="s">
        <v>18</v>
      </c>
      <c r="D25" s="4">
        <v>20</v>
      </c>
      <c r="E25" t="s">
        <v>19</v>
      </c>
    </row>
    <row r="26" spans="3:5" x14ac:dyDescent="0.3">
      <c r="C26" t="s">
        <v>20</v>
      </c>
      <c r="D26" s="10">
        <f>PMT(D24,D25,-D20)</f>
        <v>7511.930984692458</v>
      </c>
      <c r="E26" t="s">
        <v>21</v>
      </c>
    </row>
    <row r="28" spans="3:5" x14ac:dyDescent="0.3">
      <c r="C28" s="8" t="s">
        <v>22</v>
      </c>
    </row>
    <row r="29" spans="3:5" x14ac:dyDescent="0.3">
      <c r="C29" t="s">
        <v>23</v>
      </c>
      <c r="D29" s="10">
        <v>0</v>
      </c>
      <c r="E29" t="s">
        <v>24</v>
      </c>
    </row>
    <row r="30" spans="3:5" x14ac:dyDescent="0.3">
      <c r="C30" t="s">
        <v>25</v>
      </c>
      <c r="D30" s="15">
        <f>D29/920</f>
        <v>0</v>
      </c>
      <c r="E30" t="s">
        <v>26</v>
      </c>
    </row>
    <row r="31" spans="3:5" x14ac:dyDescent="0.3">
      <c r="C31" t="s">
        <v>27</v>
      </c>
      <c r="D31" s="26">
        <f>1.3*0.87</f>
        <v>1.131</v>
      </c>
      <c r="E31" t="s">
        <v>28</v>
      </c>
    </row>
    <row r="32" spans="3:5" x14ac:dyDescent="0.3">
      <c r="C32" s="8" t="s">
        <v>29</v>
      </c>
      <c r="D32" s="16">
        <f>D31*D30</f>
        <v>0</v>
      </c>
      <c r="E32" s="8" t="s">
        <v>30</v>
      </c>
    </row>
    <row r="33" spans="3:5" x14ac:dyDescent="0.3">
      <c r="C33" t="s">
        <v>31</v>
      </c>
      <c r="D33" s="17">
        <f>'Termo CC'!D33</f>
        <v>2.931</v>
      </c>
      <c r="E33" s="8" t="s">
        <v>30</v>
      </c>
    </row>
    <row r="34" spans="3:5" x14ac:dyDescent="0.3">
      <c r="C34" s="18" t="s">
        <v>32</v>
      </c>
      <c r="D34" s="19">
        <f>D33+D32</f>
        <v>2.931</v>
      </c>
      <c r="E34" s="20" t="s">
        <v>30</v>
      </c>
    </row>
    <row r="35" spans="3:5" x14ac:dyDescent="0.3">
      <c r="D35" s="17"/>
    </row>
    <row r="36" spans="3:5" x14ac:dyDescent="0.3">
      <c r="C36" s="21" t="s">
        <v>33</v>
      </c>
      <c r="D36" s="14">
        <v>0.9</v>
      </c>
    </row>
    <row r="37" spans="3:5" x14ac:dyDescent="0.3">
      <c r="C37" t="s">
        <v>34</v>
      </c>
      <c r="D37" s="10">
        <f>D13*D36*8760</f>
        <v>303376.32</v>
      </c>
      <c r="E37" s="21" t="s">
        <v>35</v>
      </c>
    </row>
    <row r="38" spans="3:5" x14ac:dyDescent="0.3">
      <c r="C38" t="s">
        <v>36</v>
      </c>
      <c r="D38" s="10">
        <f>D37*D30</f>
        <v>0</v>
      </c>
      <c r="E38" s="21" t="s">
        <v>37</v>
      </c>
    </row>
    <row r="39" spans="3:5" x14ac:dyDescent="0.3">
      <c r="C39" t="s">
        <v>36</v>
      </c>
      <c r="D39" s="22">
        <f>D38/35.31/365/1000</f>
        <v>0</v>
      </c>
      <c r="E39" s="21" t="s">
        <v>38</v>
      </c>
    </row>
    <row r="41" spans="3:5" x14ac:dyDescent="0.3">
      <c r="C41" s="8" t="s">
        <v>39</v>
      </c>
    </row>
    <row r="42" spans="3:5" x14ac:dyDescent="0.3">
      <c r="C42" t="s">
        <v>16</v>
      </c>
      <c r="D42" s="17">
        <f>D26*1000/D37</f>
        <v>24.761098640435936</v>
      </c>
      <c r="E42" t="s">
        <v>30</v>
      </c>
    </row>
    <row r="43" spans="3:5" x14ac:dyDescent="0.3">
      <c r="C43" s="23" t="s">
        <v>40</v>
      </c>
      <c r="D43" s="24">
        <f>D34</f>
        <v>2.931</v>
      </c>
      <c r="E43" s="23" t="s">
        <v>30</v>
      </c>
    </row>
    <row r="44" spans="3:5" ht="15" thickBot="1" x14ac:dyDescent="0.35">
      <c r="C44" s="12" t="s">
        <v>39</v>
      </c>
      <c r="D44" s="25">
        <f>SUM(D42:D43)</f>
        <v>27.692098640435937</v>
      </c>
      <c r="E44" s="12" t="s">
        <v>30</v>
      </c>
    </row>
    <row r="45" spans="3:5" ht="15" thickTop="1" x14ac:dyDescent="0.3"/>
    <row r="49" spans="4:5" x14ac:dyDescent="0.3">
      <c r="D49" s="6"/>
      <c r="E49" s="3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Gráficos</vt:lpstr>
      </vt:variant>
      <vt:variant>
        <vt:i4>1</vt:i4>
      </vt:variant>
    </vt:vector>
  </HeadingPairs>
  <TitlesOfParts>
    <vt:vector size="10" baseType="lpstr">
      <vt:lpstr>Termo CS</vt:lpstr>
      <vt:lpstr>Termo CC</vt:lpstr>
      <vt:lpstr>Hidro</vt:lpstr>
      <vt:lpstr>Eolica</vt:lpstr>
      <vt:lpstr>Solar</vt:lpstr>
      <vt:lpstr>Geotermico</vt:lpstr>
      <vt:lpstr>Biomasa</vt:lpstr>
      <vt:lpstr>Resumen</vt:lpstr>
      <vt:lpstr>Conversion a CC</vt:lpstr>
      <vt:lpstr>Gráfico1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Paz Castro</dc:creator>
  <cp:lastModifiedBy>pc</cp:lastModifiedBy>
  <dcterms:created xsi:type="dcterms:W3CDTF">2015-06-22T17:29:51Z</dcterms:created>
  <dcterms:modified xsi:type="dcterms:W3CDTF">2018-11-28T23:45:11Z</dcterms:modified>
</cp:coreProperties>
</file>